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ẢNG CÂN ĐỐI KẾ TOÁN" sheetId="1" r:id="rId1"/>
    <sheet name="KQKD quy" sheetId="2" r:id="rId2"/>
    <sheet name="kqkd" sheetId="3" r:id="rId3"/>
    <sheet name="BC LCTT" sheetId="4" r:id="rId4"/>
    <sheet name="TM BCTC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'BẢNG CÂN ĐỐI KẾ TOÁN'!$7:$7</definedName>
  </definedNames>
  <calcPr fullCalcOnLoad="1"/>
</workbook>
</file>

<file path=xl/sharedStrings.xml><?xml version="1.0" encoding="utf-8"?>
<sst xmlns="http://schemas.openxmlformats.org/spreadsheetml/2006/main" count="969" uniqueCount="607">
  <si>
    <t>N¨m nay</t>
  </si>
  <si>
    <t>N¨m tr­íc</t>
  </si>
  <si>
    <t>Chøng kho¸n ®· niªm yÕt</t>
  </si>
  <si>
    <t>C¸c kho¶n ph¶i thu vµ tr¶ tr­íc cho ng­êi b¸n</t>
  </si>
  <si>
    <t>Ph¶i tr¶ ng­êi b¸n vµ ng­êi mua tr¶ tiÒn tr­íc</t>
  </si>
  <si>
    <t>Ph¶i tr¶ ng­êi b¸n</t>
  </si>
  <si>
    <t>Nî dµi h¹n ®Õn h¹n tr¶</t>
  </si>
  <si>
    <t>Vay dµi h¹n</t>
  </si>
  <si>
    <t>Chỉ tiêu năm trước</t>
  </si>
  <si>
    <t>Chỉ tiêu năm nay</t>
  </si>
  <si>
    <t>Vốn góp đầu năm</t>
  </si>
  <si>
    <t>Vốn góp tăng trong năm</t>
  </si>
  <si>
    <t>Vốn góp giảm trong năm</t>
  </si>
  <si>
    <t>Vốn góp cuối năm</t>
  </si>
  <si>
    <t>L·i tiÒn vay</t>
  </si>
  <si>
    <t>Lç do thanh lý c¸c kho¶n ®Çu t­ nh¾n h¹n, dµi h¹n</t>
  </si>
  <si>
    <t>Dù phßng gi¶m gi¸ c¸c kho¶n ®Çu t­ NH, dµi h¹n</t>
  </si>
  <si>
    <t>Chi phÝ tµi chÝnh kh¸c</t>
  </si>
  <si>
    <t>Trong ®ã:</t>
  </si>
  <si>
    <t xml:space="preserve"> ThuÕ TNDN ph¶i nép</t>
  </si>
  <si>
    <t>ThuÕ TNDN ®­îc miÔn gi¶m</t>
  </si>
  <si>
    <t>Chi phÝ nguyªn liÖu, vËt liÖu</t>
  </si>
  <si>
    <t>Chi phÝ m¸y thi c«ng</t>
  </si>
  <si>
    <t>Số dư 31/12/2011</t>
  </si>
  <si>
    <t xml:space="preserve"> - Dự án Mỏ đá Nhà Lương - Sông Đà Hồng Lĩnh</t>
  </si>
  <si>
    <t>Báo cáo tài chính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</si>
  <si>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</si>
  <si>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</si>
  <si>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</si>
  <si>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</si>
  <si>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</si>
  <si>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</si>
  <si>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</si>
  <si>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</si>
  <si>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</si>
  <si>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</si>
  <si>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</si>
  <si>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</si>
  <si>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</si>
  <si>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</si>
  <si>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</si>
  <si>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</si>
  <si>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</si>
  <si>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</si>
  <si>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</si>
  <si>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</si>
  <si>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</si>
  <si>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</si>
  <si>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</si>
  <si>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</si>
  <si>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</si>
  <si>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</si>
  <si>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</si>
  <si>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</si>
  <si>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</si>
  <si>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</si>
  <si>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</si>
  <si>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</si>
  <si>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</si>
  <si>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</si>
  <si>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</si>
  <si>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</si>
  <si>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</si>
  <si>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</si>
  <si>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</si>
  <si>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</si>
  <si>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</si>
  <si>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</si>
  <si>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</si>
  <si>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</si>
  <si>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</si>
  <si>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</si>
  <si>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</si>
  <si>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</si>
  <si>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</si>
  <si>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</si>
  <si>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</si>
  <si>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</si>
  <si>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</si>
  <si>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</si>
  <si>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</si>
  <si>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</si>
  <si>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</si>
  <si>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</si>
  <si>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</si>
  <si>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</si>
  <si>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</si>
  <si>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</si>
  <si>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</si>
  <si>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</si>
  <si>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</si>
  <si>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</si>
  <si>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</si>
  <si>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</si>
  <si>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</si>
  <si>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</si>
  <si>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</si>
  <si>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</si>
  <si>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</si>
  <si>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</si>
  <si>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</si>
  <si>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</si>
  <si>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</si>
  <si>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</si>
  <si>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</si>
  <si>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</si>
  <si>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</si>
  <si>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</si>
  <si>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</si>
  <si>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</si>
  <si>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</si>
  <si>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</si>
  <si>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</si>
  <si>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</si>
  <si>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</si>
  <si>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</si>
  <si>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</si>
  <si>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</si>
  <si>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</si>
  <si>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</si>
  <si>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</si>
  <si>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</si>
  <si>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</si>
  <si>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</si>
  <si>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</si>
  <si>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</si>
  <si>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</si>
  <si>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</si>
  <si>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</si>
  <si>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</si>
  <si>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</si>
  <si>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</si>
  <si>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</si>
  <si>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</si>
  <si>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</si>
  <si>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</si>
  <si>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</si>
  <si>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</si>
  <si>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</si>
  <si>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</si>
  <si>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</si>
  <si>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</si>
  <si>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</si>
  <si>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</si>
  <si>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</si>
  <si>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</si>
  <si>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</si>
  <si>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</si>
  <si>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</si>
  <si>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</si>
  <si>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</si>
  <si>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</si>
  <si>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</si>
  <si>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</si>
  <si>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</si>
  <si>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</si>
  <si>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</si>
  <si>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</si>
  <si>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</si>
  <si>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</si>
  <si>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</si>
  <si>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</si>
  <si>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</si>
  <si>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</si>
  <si>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</si>
  <si>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</si>
  <si>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</si>
  <si>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</si>
  <si>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</si>
  <si>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</si>
  <si>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</si>
  <si>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</si>
  <si>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</si>
  <si>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</si>
  <si>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</si>
  <si>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</si>
  <si>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</si>
  <si>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</si>
  <si>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</si>
  <si>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</si>
  <si>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</si>
  <si>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</si>
  <si>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</si>
  <si>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</si>
  <si>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</si>
  <si>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</si>
  <si>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</si>
  <si>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</si>
  <si>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</si>
  <si>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</si>
  <si>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</si>
  <si>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</si>
  <si>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</si>
  <si>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</si>
  <si>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</si>
  <si>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</si>
  <si>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</si>
  <si>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</si>
  <si>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</si>
  <si>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</si>
  <si>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</si>
  <si>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</si>
  <si>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</si>
  <si>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</si>
  <si>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</si>
  <si>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</si>
  <si>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</si>
  <si>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</si>
  <si>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</si>
  <si>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</si>
  <si>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</si>
  <si>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</si>
  <si>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</si>
  <si>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</si>
  <si>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</si>
  <si>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</si>
  <si>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</si>
  <si>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</si>
  <si>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</si>
  <si>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</si>
  <si>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</si>
  <si>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</si>
  <si>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</si>
  <si>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</si>
  <si>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</si>
  <si>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</si>
  <si>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</si>
  <si>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</si>
  <si>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</si>
  <si>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</si>
  <si>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</si>
  <si>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</si>
  <si>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CÔNG TY: Công ty cổ phần Sông Đà 909</t>
  </si>
  <si>
    <t>Địa chỉ: T9, Nhà Sông Đà, Dường Phạm Hùng, Mỹ Đình, Từ Liêm, Hà Nội</t>
  </si>
  <si>
    <t>Tel: 043 7684 495       Fax: 043 7684 490</t>
  </si>
  <si>
    <t>V.01</t>
  </si>
  <si>
    <t>V.02</t>
  </si>
  <si>
    <t>VII.3.1</t>
  </si>
  <si>
    <t>VII.3.2</t>
  </si>
  <si>
    <t>V.03</t>
  </si>
  <si>
    <t>VII.3.3</t>
  </si>
  <si>
    <t>V.04</t>
  </si>
  <si>
    <t>VII.3.4</t>
  </si>
  <si>
    <t>VII.3.5</t>
  </si>
  <si>
    <t>VII.3.6</t>
  </si>
  <si>
    <t>V.05</t>
  </si>
  <si>
    <t>V.07</t>
  </si>
  <si>
    <t>V.08</t>
  </si>
  <si>
    <t>V.09</t>
  </si>
  <si>
    <t>VII.3.7</t>
  </si>
  <si>
    <t>VII.3.8</t>
  </si>
  <si>
    <t>V.10</t>
  </si>
  <si>
    <t>VII.3.9</t>
  </si>
  <si>
    <t>V.11</t>
  </si>
  <si>
    <t>V.12</t>
  </si>
  <si>
    <t>VIII.6.14</t>
  </si>
  <si>
    <t>V.19</t>
  </si>
  <si>
    <t>VIII.6.15</t>
  </si>
  <si>
    <t>V.13</t>
  </si>
  <si>
    <t>V.14</t>
  </si>
  <si>
    <t>Ng­êi lËp biÓu</t>
  </si>
  <si>
    <t>NguyÔn ThÞ Hµ</t>
  </si>
  <si>
    <t>KÕ to¸n tr­ëng</t>
  </si>
  <si>
    <t>Chu Danh Ph­¬ng</t>
  </si>
  <si>
    <t>Tæng Gi¸m ®èc</t>
  </si>
  <si>
    <t>Phan V¨n Hïng</t>
  </si>
  <si>
    <t>Đơn vị : Đồng</t>
  </si>
  <si>
    <t>Mẫu số : B01-DN</t>
  </si>
  <si>
    <t xml:space="preserve">DN - BẢNG CÂN ĐỐI KẾ TOÁN </t>
  </si>
  <si>
    <t>Mẫu số : B02-DN</t>
  </si>
  <si>
    <t>1. Doanh thu bán hàng và cung cấp dịch vụ</t>
  </si>
  <si>
    <t>VI.16</t>
  </si>
  <si>
    <t>2. Các khoản giảm trừ doanh thu</t>
  </si>
  <si>
    <t>VI.17</t>
  </si>
  <si>
    <t>3. Doanh thu thuần về bán hàng và cung cấp dịch vụ (10 = 01 - 02)</t>
  </si>
  <si>
    <t>10</t>
  </si>
  <si>
    <t>4. Giá vốn hàng bán</t>
  </si>
  <si>
    <t>11</t>
  </si>
  <si>
    <t>VI.18</t>
  </si>
  <si>
    <t>5. Lợi nhuận gộp về bán hàng và cung cấp dịch vụ(20=10-11)</t>
  </si>
  <si>
    <t>20</t>
  </si>
  <si>
    <t>6. Doanh thu hoạt động tài chính</t>
  </si>
  <si>
    <t>21</t>
  </si>
  <si>
    <t>VI.19</t>
  </si>
  <si>
    <t>7. Chi phí tài chính</t>
  </si>
  <si>
    <t>22</t>
  </si>
  <si>
    <t>VI.20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</si>
  <si>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</si>
  <si>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</si>
  <si>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</si>
  <si>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</si>
  <si>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</si>
  <si>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</si>
  <si>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VII.2.10</t>
  </si>
  <si>
    <t>10. Lợi nhuận thuần từ hoạt động kinh doanh{30=20+(21-22) - (24+25)}</t>
  </si>
  <si>
    <t>30</t>
  </si>
  <si>
    <t>11. Thu nhập khác</t>
  </si>
  <si>
    <t>31</t>
  </si>
  <si>
    <t>VII.2.11</t>
  </si>
  <si>
    <t>12. Chi phí khác</t>
  </si>
  <si>
    <t>32</t>
  </si>
  <si>
    <t>VII.2.12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</si>
  <si>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</si>
  <si>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</si>
  <si>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</si>
  <si>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</si>
  <si>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</si>
  <si>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</si>
  <si>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VI.21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</si>
  <si>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</si>
  <si>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</si>
  <si>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</si>
  <si>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</si>
  <si>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</si>
  <si>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</si>
  <si>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</si>
  <si>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</si>
  <si>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</si>
  <si>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</si>
  <si>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</si>
  <si>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</si>
  <si>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                       Tæng gi¸m ®èc</t>
  </si>
  <si>
    <t xml:space="preserve">                       Phan V¨n Hïng</t>
  </si>
  <si>
    <t>C«ng ty Cæ phÇn s«ng ®µ 909</t>
  </si>
  <si>
    <t xml:space="preserve">B¸o c¸o tµi chÝnh </t>
  </si>
  <si>
    <t>§Þa chØ: Toµ nhµ S«ng §µ- §g Ph¹m Hïng- Mü §×nh -TL - HN.</t>
  </si>
  <si>
    <t xml:space="preserve">Tel: (84) 04 7684495           Fax: (84) 04 7684490 </t>
  </si>
  <si>
    <t>MÉu sè B 09 - DN</t>
  </si>
  <si>
    <t>V.</t>
  </si>
  <si>
    <t>Th«ng tin bæ sung cho c¸c kho¶n môc tr×nh bµy trong b¶ng c©n ®èi kÕ to¸n</t>
  </si>
  <si>
    <t>1.</t>
  </si>
  <si>
    <t>TiÒn</t>
  </si>
  <si>
    <t>§èi t­îng</t>
  </si>
  <si>
    <t>VND</t>
  </si>
  <si>
    <t>TiÒn mÆt</t>
  </si>
  <si>
    <t>TiÒn göi ng©n hµng</t>
  </si>
  <si>
    <t>Tæng céng</t>
  </si>
  <si>
    <t>2.</t>
  </si>
  <si>
    <t>C¸c kho¶n ®Çu t­ tµi chÝnh ng¾n h¹n</t>
  </si>
  <si>
    <t>§Çu t­ ng¾n h¹n</t>
  </si>
  <si>
    <t xml:space="preserve"> Dù phßng gi¶m gi¸ ®Çu t­ ng¾n h¹n</t>
  </si>
  <si>
    <t>3.</t>
  </si>
  <si>
    <t>Ph¶i thu kh¸ch hµng</t>
  </si>
  <si>
    <t>Tr¶ tr­íc cho ng­êi b¸n</t>
  </si>
  <si>
    <t>C¸c kho¶n ph¶i thu kh¸c</t>
  </si>
  <si>
    <t>Hµng tån kho</t>
  </si>
  <si>
    <t>Hµng mua ®ang ®i trªn ®­êng</t>
  </si>
  <si>
    <t>Nguyªn liÖu, vËt liÖu</t>
  </si>
  <si>
    <t xml:space="preserve">C«ng cô, dông cô </t>
  </si>
  <si>
    <t>Chi phÝ s¶n xuÊt kinh doanh dë dang</t>
  </si>
  <si>
    <t>Tæng céng gi¸ gèc hµng tån kho</t>
  </si>
  <si>
    <t>Dù phßng gi¶m gi¸ hµng tån kho</t>
  </si>
  <si>
    <t>Tæng céng gi¸ trÞ thuÇn hµng tån kho</t>
  </si>
  <si>
    <t>Tµi s¶n ng¾n h¹n kh¸c</t>
  </si>
  <si>
    <t>Chi phÝ tr¶ tr­íc ng¾n h¹n</t>
  </si>
  <si>
    <t>ThuÕ GTGT ®­îc khÊu trõ</t>
  </si>
  <si>
    <t>ThuÕ vµ c¸c kho¶n ph¶i thu Nhµ n­íc</t>
  </si>
  <si>
    <t>T¹m øng</t>
  </si>
  <si>
    <t>Ký c­îc, ký quü ng¾n h¹n</t>
  </si>
  <si>
    <t>T¨ng, gi¶m tµi s¶n cè ®Þnh h÷u h×nh</t>
  </si>
  <si>
    <t>Kho¶n môc</t>
  </si>
  <si>
    <t>M¸y mãc, thiÕt bÞ</t>
  </si>
  <si>
    <t>Ph­¬ng tiÖn vËn t¶i</t>
  </si>
  <si>
    <t>ThiÕt bÞ, dông cô qu¶n lý</t>
  </si>
  <si>
    <t>Nguyªn gi¸</t>
  </si>
  <si>
    <t>T¨ng trong kú</t>
  </si>
  <si>
    <t>Gi¶m trong kú</t>
  </si>
  <si>
    <t>Gi¸ trÞ hao mßn luü kÕ</t>
  </si>
  <si>
    <t>Gi¸ trÞ cßn l¹i</t>
  </si>
  <si>
    <t>T¨ng, gi¶m tµi s¶n cè ®Þnh v« h×nh</t>
  </si>
  <si>
    <t>QuyÒn sö dông ®Êt</t>
  </si>
  <si>
    <t>Ph¸t minh, s¸ng chÕ</t>
  </si>
  <si>
    <t>PhÇn mÒm, th­¬ng hiÖu</t>
  </si>
  <si>
    <t>C«ng ty cæ phÇn S«ng §µ 909</t>
  </si>
  <si>
    <t>C«ng ty cæ phÇn S«ng §µ Hång LÜnh</t>
  </si>
  <si>
    <t>Chi phÝ x©y dùng c¬ b¶n dë dang</t>
  </si>
  <si>
    <t xml:space="preserve">1. Mua sắm TSCD </t>
  </si>
  <si>
    <t xml:space="preserve">2. XDCB - theo từng công trình </t>
  </si>
  <si>
    <t xml:space="preserve"> - Dự án đất Tân vạn </t>
  </si>
  <si>
    <t xml:space="preserve"> - Ban quản lý các dự án ở Hà Nội </t>
  </si>
  <si>
    <t xml:space="preserve"> - Dự án nhà văn phòng/trụ sở Công ty</t>
  </si>
  <si>
    <t xml:space="preserve"> - Dự án Thủy điện Phình Hồ </t>
  </si>
  <si>
    <t xml:space="preserve"> - Sàn giao dịch BĐS</t>
  </si>
  <si>
    <t xml:space="preserve">3. Sửa chữa lớn </t>
  </si>
  <si>
    <t>T¨ng, gi¶m tµi s¶n bÊt ®éng s¶n ®Çu t­</t>
  </si>
  <si>
    <t>§Êt ®ai</t>
  </si>
  <si>
    <t>Nhµ cöa</t>
  </si>
  <si>
    <t>VËt kiÕn tróc</t>
  </si>
  <si>
    <t xml:space="preserve">C¸c kho¶n ®Çu t­ tµi chÝnh dµi h¹n </t>
  </si>
  <si>
    <t xml:space="preserve"> §Çu t­ vµo c«ng ty con</t>
  </si>
  <si>
    <t xml:space="preserve"> §Çu t­ vµo c«ng ty liªn kªt, liªn doanh</t>
  </si>
  <si>
    <t xml:space="preserve"> §Çu t­ dµi h¹n kh¸c</t>
  </si>
  <si>
    <t>§Çu t­ cæ phiÕu</t>
  </si>
  <si>
    <t>§Çu t­ tr¸i phiÕu</t>
  </si>
  <si>
    <t>§Çu t­ tÝn phiÕu, kú phiªu</t>
  </si>
  <si>
    <t>Dù phßng gi¶m gi¸ ®Çu t­ tµi chÝnh dµi h¹n (*)</t>
  </si>
  <si>
    <t>Chi phÝ tr¶ tr­íc dµi h¹n</t>
  </si>
  <si>
    <t>Vay vµ nî ng¾n h¹n</t>
  </si>
  <si>
    <t>Vay ng¾n h¹n</t>
  </si>
  <si>
    <t xml:space="preserve"> - Ng©n hµng liªn doanh Lµo ViÖt</t>
  </si>
  <si>
    <t xml:space="preserve"> - Ng©n hµng Ngo¹i th­¬ng VN - CN Th¨ng Long</t>
  </si>
  <si>
    <t xml:space="preserve"> - Ng©n hµng ®Çu t­ Thanh Xu©n</t>
  </si>
  <si>
    <t xml:space="preserve">  -C«ng ty chøng kho¸n Clicfone             </t>
  </si>
  <si>
    <t xml:space="preserve"> - Ng©n hµng Quèc tÕ (VIP)-CN Long Biªn                                                                                                   </t>
  </si>
  <si>
    <t>Nîi dµi h¹n ®Õn h¹n tr¶</t>
  </si>
  <si>
    <t xml:space="preserve"> - Ng©n hµng Ngo¹i th­¬ng Th¨ng Long</t>
  </si>
  <si>
    <t xml:space="preserve"> - Techcombank NhuÖ Giang</t>
  </si>
  <si>
    <t xml:space="preserve"> - Maritime Bank - Thanh Xu©n                                                                                                      </t>
  </si>
  <si>
    <t xml:space="preserve"> - Ng©n hµng NNPTNT Mü §×nh</t>
  </si>
  <si>
    <t>Ng­êi mua tr¶ tiÒn tr­íc</t>
  </si>
  <si>
    <t>ThuÕ vµ c¸c kho¶n ph¶i nép nhµ n­íc</t>
  </si>
  <si>
    <t>§¬n vÞ tÝnh: VND</t>
  </si>
  <si>
    <t>Sè ph¶i nép</t>
  </si>
  <si>
    <t>Sè ®· nép</t>
  </si>
  <si>
    <t>ThuÕ GTGT</t>
  </si>
  <si>
    <t>ThuÕ tiªu thô ®Æc biÖt</t>
  </si>
  <si>
    <t>ThuÕ xuÊt, nhËp khÈu</t>
  </si>
  <si>
    <t>ThuÕ thu nhËp doanh nghiÖp</t>
  </si>
  <si>
    <t>ThuÕ thu nhËp c¸ nh©n</t>
  </si>
  <si>
    <t>ThuÕ tµi nguyªn</t>
  </si>
  <si>
    <t>ThuÕ nhµ ®Êt vµ tiÒn thuª ®Êt</t>
  </si>
  <si>
    <t>C¸c lo¹i thuÕ kh¸c</t>
  </si>
  <si>
    <t>Ph¶i tr¶ ng­êi lao ®éng</t>
  </si>
  <si>
    <t>Chi phÝ ph¶i tr¶</t>
  </si>
  <si>
    <t>C¸c kho¶n ph¶i tr¶, ph¶i nép ng¾n h¹n kh¸c</t>
  </si>
  <si>
    <t>Kinh phÝ c«ng ®oµn</t>
  </si>
  <si>
    <t>B¶o hiÓm x· héi, b¶o hiÓm y tÕ</t>
  </si>
  <si>
    <t>Ph¶i tr¶, ph¶i nép kh¸c</t>
  </si>
  <si>
    <t>Quü khen th­ëng, phóc lîi</t>
  </si>
  <si>
    <t>Vay vµ nî dµi h¹n</t>
  </si>
  <si>
    <t xml:space="preserve"> - Ng©n hµng Maritime Bank - Thanh Xu©n                                                                                                      </t>
  </si>
  <si>
    <t xml:space="preserve">  - Ng©n hµng §TPT CN Thanh Xu©n</t>
  </si>
  <si>
    <t xml:space="preserve">  - Ng©n hµn Techcombank NhuÖ Giang</t>
  </si>
  <si>
    <t>Vèn chñ së h÷u</t>
  </si>
  <si>
    <t>Đơn vị : VND</t>
  </si>
  <si>
    <t>21.1</t>
  </si>
  <si>
    <t>B¶ng ®èi chiÕu biÕn ®éng cña vèn chñ së h÷u</t>
  </si>
  <si>
    <t>a</t>
  </si>
  <si>
    <t>Tăng trong kỳ</t>
  </si>
  <si>
    <t>Giảm trong kỳ</t>
  </si>
  <si>
    <t>Vốn đầu tư của chủ sở hữu</t>
  </si>
  <si>
    <t>Thặng dư vốn cổ phần</t>
  </si>
  <si>
    <t>Quỹ đầu tư phát triển</t>
  </si>
  <si>
    <t>Quỹ dự phòng tài chính</t>
  </si>
  <si>
    <t>Cộng</t>
  </si>
  <si>
    <t>b</t>
  </si>
  <si>
    <t>Chi tiết vốn đầu tư của chủ sở hữu</t>
  </si>
  <si>
    <t xml:space="preserve">Vốn góp của Công ty Cổ Phần Sông Đà 9 </t>
  </si>
  <si>
    <t>Vốn góp của các đối tượng khác</t>
  </si>
  <si>
    <t>Các giao dịch về vốn với các Chủ sở hữu và phân phối cổ tức, chia lợi nhuận</t>
  </si>
  <si>
    <t>Cổ phiếu</t>
  </si>
  <si>
    <t xml:space="preserve">- Số lượng cổ phiếu đăng ký phát hành </t>
  </si>
  <si>
    <t xml:space="preserve">- Số lượng cổ phiếu đã bán ra </t>
  </si>
  <si>
    <t xml:space="preserve">  + Cổ phiếu phổ thông</t>
  </si>
  <si>
    <t xml:space="preserve">  + Cổ phiếu ưu đãi</t>
  </si>
  <si>
    <t>- Số lượng cổ phiếu được mua lại</t>
  </si>
  <si>
    <t>- Số lượng cổ phiếu đang lưu hành</t>
  </si>
  <si>
    <t>Mệnh giá cổ phiếu đang lưu hành: 10.000 VND</t>
  </si>
  <si>
    <t>Các quỹ của Doanh nghiệp</t>
  </si>
  <si>
    <t>- Quỹ đầu tư phát triển</t>
  </si>
  <si>
    <t>- Quỹ dự phòng tài chính</t>
  </si>
  <si>
    <t>- Quỹ khác thuộc vốn chủ sở hữu</t>
  </si>
  <si>
    <t>VI.</t>
  </si>
  <si>
    <t>Th«ng tin bæ sung cho c¸c kho¶n môc tr×nh bµy trong b¸o c¸o kÕt qu¶ ho¹t ®éng kinh doanh</t>
  </si>
  <si>
    <t>Tæng doanh thu b¸n hµng vµ cung cÊp dÞch vô</t>
  </si>
  <si>
    <t>Doanh thu hîp ®ång x©y dùng</t>
  </si>
  <si>
    <t>C¸c kho¶n gi¶m trõ doanh thu</t>
  </si>
  <si>
    <t>ChiÕt khÊu th­¬ng m¹i</t>
  </si>
  <si>
    <t>Gi¶m gi¸ hµng b¸n</t>
  </si>
  <si>
    <t>Hµng b¸n bÞ tr¶ l¹i</t>
  </si>
  <si>
    <r>
      <t xml:space="preserve">ThuÕ GTGT ph¶i nép </t>
    </r>
    <r>
      <rPr>
        <b/>
        <u val="single"/>
        <sz val="11"/>
        <rFont val=".VnTime"/>
        <family val="2"/>
      </rPr>
      <t>(ph­¬ng ph¸p trùc tiÕp)</t>
    </r>
  </si>
  <si>
    <t>ThuÕ xuÊt khÈu</t>
  </si>
  <si>
    <t>Doanh thu thuÇn vÒ b¸n hµng vµ cung cÊp dÞch vô</t>
  </si>
  <si>
    <t>Doanh thu thuÇn trao ®æi s¶n phÈm, hµng ho¸</t>
  </si>
  <si>
    <t>Doanh thu thuÇn hîp ®ång x©y dùng</t>
  </si>
  <si>
    <t>Doanh thu thuÇn kh¸c</t>
  </si>
  <si>
    <t>Gi¸ vèn b¸n hµng</t>
  </si>
  <si>
    <t>Gi¸ vèn cña thµnh phÈm ®· b¸n</t>
  </si>
  <si>
    <t>Gi¸ vèn hîp ®ång x©y dùng</t>
  </si>
  <si>
    <t>Gi¸ vèn cña dÞch vô ®· cung cÊp</t>
  </si>
  <si>
    <t>Doanh thu ho¹t ®éng tµi chÝnh</t>
  </si>
  <si>
    <t>Chi phÝ tµi chÝnh</t>
  </si>
  <si>
    <t>Chi phÝ thuÕ thu nhËp hiÖn hµnh</t>
  </si>
  <si>
    <t>Chi phÝ thuÕ thu nhËp doanh nghiÖp tÝnh trªn thu nhËp chÞu thuÕ n¨m hiÖn hµnh</t>
  </si>
  <si>
    <t>Tæng chi phÝ thuÕ thu nhËp doanh nghiÖp hiÖn hµnh</t>
  </si>
  <si>
    <t>Chi phÝ s¶n xuÊt kinh doanh theo yÕu tè</t>
  </si>
  <si>
    <t>Chi phÝ nh©n c«ng</t>
  </si>
  <si>
    <t>Chi phÝ khÊu hao TSC§</t>
  </si>
  <si>
    <t>Chi phÝ dÞch vô mua ngoµi</t>
  </si>
  <si>
    <t>Chi phÝ b»ng tiÒn kh¸c</t>
  </si>
  <si>
    <t>Thu nhËp kh¸c</t>
  </si>
  <si>
    <t>Chi phÝ kh¸c</t>
  </si>
  <si>
    <t>VII.</t>
  </si>
  <si>
    <t>Nh÷ng th«ng tin kh¸c</t>
  </si>
  <si>
    <t>Nh÷ng kho¶n nî tiÒm tµng, kho¶n cam kÕt vµ nh÷ng th«ng tin tµi chÝnh kh¸c</t>
  </si>
  <si>
    <t>Nh÷ng sù kiÖn ph¸t sinh sau ngµy kÕt thóc kú kÕ to¸n</t>
  </si>
  <si>
    <t>Th«ng tin vÒ c¸c bªn liªn quan</t>
  </si>
  <si>
    <t>C¸c bªn cã liªn quan</t>
  </si>
  <si>
    <t>Mèi quan hÖ</t>
  </si>
  <si>
    <t>C«ng ty mÑ</t>
  </si>
  <si>
    <t>C«ng ty con</t>
  </si>
  <si>
    <t>Tû lÖ kiÓm so¸t cña C«ng ty CP S«ng §µ 909 víi C«ng ty CP S«ng §µ Hång LÜnh</t>
  </si>
  <si>
    <t>C¸c nghiÖp vô cã liªn quan ph¸t sinh trong kú</t>
  </si>
  <si>
    <t xml:space="preserve"> - C«ng ty cæ phÇn S«ng §µ 909 chuyÓn tiÒn gãp vèn b»ng tiÒn cho C«ng ty cæ phÇn S«ng §µ Hång LÜnh</t>
  </si>
  <si>
    <t xml:space="preserve"> - C«ng ty cæ phÇn S«ng §µ 909 xuÊt ho¸ ®¬n gãp vèn b»ng tµi s¶n cho C«ng ty cæ phÇn S«ng §µ Hång LÜnh</t>
  </si>
  <si>
    <t>Tr×nh bµy tµi s¶n, doanh thu, KQKD theo bé phËn (tÝnh theo lÜnh vùc kinh doanh hoÆc khu vùc ®Þa lý) theo quy ®Þnh cña chuÈn mùc kÕ to¸n sè 28"B¸o c¸o bé phËn"</t>
  </si>
  <si>
    <t>Th«ng tin so s¸nh (nh÷ng thay ®æi vÒ th«ng tin trªn B¸o c¸o tµi chÝnh cña kú kÕ to¸n tr­íc)</t>
  </si>
  <si>
    <t>Nh÷ng th«ng tin vÒ ho¹t ®éng liªn tôc</t>
  </si>
  <si>
    <t xml:space="preserve"> - Vèn ®iÒu lÖ ®· gãp cña C«ng ty mÑ</t>
  </si>
  <si>
    <t xml:space="preserve"> - Vèn ®iÒu lÖ ®· gãp cña C«ng ty con</t>
  </si>
  <si>
    <t xml:space="preserve">Trong ®ã : Vèn thùc gãp cña c«ng ty cæ phÇn S«ng §µ 909 </t>
  </si>
  <si>
    <t>Mét sè chØ tiªu kh¸i qu¸t vÒ t×nh h×nh kinh doanh</t>
  </si>
  <si>
    <t>ChØ tiªu</t>
  </si>
  <si>
    <t>§VT</t>
  </si>
  <si>
    <t>1. Bè trÝ c¬ cÊu tµi s¶n vµ c¬ cÊu vèn</t>
  </si>
  <si>
    <t>1.1. Bè trÝ c¬ cÊu tµi s¶n</t>
  </si>
  <si>
    <t xml:space="preserve">  - Tµi s¶n ng¾n h¹n/Tæng tµi s¶n</t>
  </si>
  <si>
    <t>%</t>
  </si>
  <si>
    <t xml:space="preserve">  - Tµi s¶n dµi h¹n/Tæng tµi s¶n</t>
  </si>
  <si>
    <t>1.2. Bè trÝ c¬ cÊu vèn</t>
  </si>
  <si>
    <t xml:space="preserve">  - Nî ph¶i tr¶/Tæng nguån vèn</t>
  </si>
  <si>
    <t xml:space="preserve">  - Vèn chñ së h÷u/Tæng nguån vèn</t>
  </si>
  <si>
    <t>2. Kh¶ n¨ng thanh to¸n</t>
  </si>
  <si>
    <t>2.1. Kh¶ n¨ng thanh to¸n tæng qu¸t</t>
  </si>
  <si>
    <t>lÇn</t>
  </si>
  <si>
    <t>(Tæng tµi s¶n /Nî ph¶i tr¶)</t>
  </si>
  <si>
    <t>2.2. Kh¶ n¨ng thanh to¸n nî ng¾n h¹n</t>
  </si>
  <si>
    <t>(Tµi s¶n ng¾n h¹n/Nî ng¾n h¹n)</t>
  </si>
  <si>
    <t>2.3. Kh¶ n¨ng thanh to¸n nhanh</t>
  </si>
  <si>
    <t>(TiÒn hiÖn cã/Nî ng¾n h¹n)</t>
  </si>
  <si>
    <t>3. Tû suÊt sinh lêi</t>
  </si>
  <si>
    <t>3.1 Tû suÊt lîi nhuËn trªn doanh thu</t>
  </si>
  <si>
    <t xml:space="preserve"> - Tû suÊt lîi nhuËn tr­íc thuÕ/Doanh thu</t>
  </si>
  <si>
    <t xml:space="preserve"> - Tû suÊt lîi nhuËn sau thuÕ/Doanh thu</t>
  </si>
  <si>
    <t>3.2 Tû suÊt lîi nhuËn trªn tæng tµi s¶n</t>
  </si>
  <si>
    <t xml:space="preserve"> - Tû suÊt lîi nhuËn tr­íc thuÕ/Tæng tµi s¶n</t>
  </si>
  <si>
    <t xml:space="preserve"> - Tû suÊt lîi nhuËn sau thuÕ/ Tæng tµi s¶n</t>
  </si>
  <si>
    <t>3.3 Tû suÊt lîi nhuËn sau thuÕ trªn vèn chñ së h÷u</t>
  </si>
  <si>
    <t xml:space="preserve">                                            KÕ to¸n tr­ëng</t>
  </si>
  <si>
    <t xml:space="preserve">                                  Chu Danh Ph­¬ng</t>
  </si>
  <si>
    <t>Mẫu số : B03-DN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</si>
  <si>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</si>
  <si>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</si>
  <si>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</si>
  <si>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</si>
  <si>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</si>
  <si>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</si>
  <si>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</si>
  <si>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</si>
  <si>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</si>
  <si>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</si>
  <si>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</si>
  <si>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</si>
  <si>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</si>
  <si>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</si>
  <si>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</si>
  <si>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</si>
  <si>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</si>
  <si>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</si>
  <si>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</si>
  <si>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</si>
  <si>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</si>
  <si>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</si>
  <si>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</si>
  <si>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</si>
  <si>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</si>
  <si>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</si>
  <si>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</si>
  <si>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</si>
  <si>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</si>
  <si>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</si>
  <si>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</si>
  <si>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</si>
  <si>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</si>
  <si>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</si>
  <si>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</si>
  <si>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</si>
  <si>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</si>
  <si>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 xml:space="preserve">DN - BÁO CÁO LƯU CHUYỂN TIỀN TỆ -  PPTT </t>
  </si>
  <si>
    <t>B¶n thuyÕt minh b¸o c¸o tµi chÝnh</t>
  </si>
  <si>
    <t>01/01/2012</t>
  </si>
  <si>
    <t>Sè d­ ngày 01/01/2012</t>
  </si>
  <si>
    <t>T¹i ngày 01/01/2012</t>
  </si>
  <si>
    <t>Số dư 01/01/2012</t>
  </si>
  <si>
    <t>LN sau thuế chưa phân phối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</si>
  <si>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</si>
  <si>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</si>
  <si>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</si>
  <si>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</si>
  <si>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Luü kÕ</t>
  </si>
  <si>
    <t>Sè d­ ngày 30/06/2012</t>
  </si>
  <si>
    <t>T¹i ngày 30/06/2012</t>
  </si>
  <si>
    <t>CÔNG TY CỔ PHẦN SÔNG ĐÀ 909</t>
  </si>
  <si>
    <t>Quý III năm 2012</t>
  </si>
  <si>
    <t>Từ 01/01/2011 đến 30/09/2011</t>
  </si>
  <si>
    <t>Từ 01/01/2012 đến 30/09/2012</t>
  </si>
  <si>
    <t xml:space="preserve"> Hµ Néi, ngµy 15  th¸ng  10  n¨m 2012</t>
  </si>
  <si>
    <t xml:space="preserve"> Hµ Néi, ngµy 15 th¸ng 10 n¨m 2012</t>
  </si>
  <si>
    <t>30/09/2012</t>
  </si>
  <si>
    <t>Quý III</t>
  </si>
  <si>
    <t>Hµ Néi, ngµy 15 th¸ng 10 n¨m 2012</t>
  </si>
  <si>
    <t>Sè d­ ngày 30/09/2012</t>
  </si>
  <si>
    <t>T¹i ngày 30/09/2012</t>
  </si>
  <si>
    <t>Số dư 01/01/2011</t>
  </si>
  <si>
    <t>Hµ Néi , ngµy 15 th¸ng  10 n¨m 2012</t>
  </si>
  <si>
    <t xml:space="preserve">DN - BÁO CÁO KẾT QUẢ KINH DOANH </t>
  </si>
  <si>
    <t>Số dư 30/09/2011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</si>
</sst>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_);_(* \(#,##0\);_(* &quot;-&quot;??_);_(@_)"/>
    <numFmt numFmtId="189" formatCode="_(* #,##0.000_);_(* \(#,##0.000\);_(* &quot;-&quot;??_);_(@_)"/>
    <numFmt numFmtId="190" formatCode="_(* #,##0.0_);_(* \(#,##0.0\);_(* &quot;-&quot;??_);_(@_)"/>
    <numFmt numFmtId="191" formatCode="_(* #,##0.0_);_(* \(#,##0.0\);_(* &quot;-&quot;?_);_(@_)"/>
  </numFmts>
  <fonts count="57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name val=".VnTime"/>
      <family val="2"/>
    </font>
    <font>
      <b/>
      <sz val="11"/>
      <name val=".VnTime"/>
      <family val="2"/>
    </font>
    <font>
      <sz val="11"/>
      <color indexed="10"/>
      <name val=".VnTime"/>
      <family val="2"/>
    </font>
    <font>
      <i/>
      <sz val="11"/>
      <name val=".VnTime"/>
      <family val="2"/>
    </font>
    <font>
      <b/>
      <i/>
      <sz val="11"/>
      <name val=".VnTime"/>
      <family val="2"/>
    </font>
    <font>
      <b/>
      <sz val="11"/>
      <name val=".VnTimeH"/>
      <family val="2"/>
    </font>
    <font>
      <b/>
      <i/>
      <sz val="9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10"/>
      <name val=".VnTime"/>
      <family val="2"/>
    </font>
    <font>
      <sz val="10"/>
      <name val=".VnTime"/>
      <family val="2"/>
    </font>
    <font>
      <i/>
      <sz val="10"/>
      <name val=".VnTime"/>
      <family val="2"/>
    </font>
    <font>
      <b/>
      <i/>
      <sz val="10"/>
      <name val=".VnTime"/>
      <family val="2"/>
    </font>
    <font>
      <sz val="10"/>
      <color indexed="10"/>
      <name val=".VnTime"/>
      <family val="2"/>
    </font>
    <font>
      <sz val="11"/>
      <color indexed="10"/>
      <name val="Arial"/>
      <family val="0"/>
    </font>
    <font>
      <b/>
      <sz val="11"/>
      <color indexed="10"/>
      <name val=".VnTime"/>
      <family val="2"/>
    </font>
    <font>
      <i/>
      <sz val="11"/>
      <name val="Arial"/>
      <family val="0"/>
    </font>
    <font>
      <i/>
      <sz val="9"/>
      <name val=".VnTime"/>
      <family val="2"/>
    </font>
    <font>
      <b/>
      <i/>
      <sz val="9"/>
      <name val=".VnTime"/>
      <family val="2"/>
    </font>
    <font>
      <sz val="9.05"/>
      <color indexed="8"/>
      <name val=".VnTime"/>
      <family val="0"/>
    </font>
    <font>
      <sz val="11"/>
      <color indexed="8"/>
      <name val=".VnTime"/>
      <family val="0"/>
    </font>
    <font>
      <sz val="12"/>
      <name val=".vntime"/>
      <family val="0"/>
    </font>
    <font>
      <b/>
      <sz val="11"/>
      <color indexed="10"/>
      <name val="Arial"/>
      <family val="0"/>
    </font>
    <font>
      <sz val="9"/>
      <name val=".VnTime"/>
      <family val="2"/>
    </font>
    <font>
      <i/>
      <sz val="9"/>
      <name val="Arial"/>
      <family val="0"/>
    </font>
    <font>
      <b/>
      <sz val="9"/>
      <name val=".VnTime"/>
      <family val="2"/>
    </font>
    <font>
      <b/>
      <sz val="9"/>
      <color indexed="10"/>
      <name val="Arial"/>
      <family val="0"/>
    </font>
    <font>
      <b/>
      <sz val="9"/>
      <color indexed="10"/>
      <name val=".VnTime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.VnTime"/>
      <family val="2"/>
    </font>
    <font>
      <sz val="12"/>
      <name val=".VnTime"/>
      <family val="2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color indexed="8"/>
      <name val="Times New Roman"/>
      <family val="1"/>
    </font>
    <font>
      <b/>
      <i/>
      <sz val="12"/>
      <name val=".VnTime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.VnTime"/>
      <family val="2"/>
    </font>
    <font>
      <sz val="11"/>
      <name val=".vntime"/>
      <family val="0"/>
    </font>
    <font>
      <b/>
      <sz val="10"/>
      <name val=".VnTimeH"/>
      <family val="2"/>
    </font>
    <font>
      <sz val="10"/>
      <name val=".VnTimeH"/>
      <family val="2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.VnTime"/>
      <family val="2"/>
    </font>
    <font>
      <i/>
      <sz val="11"/>
      <color indexed="10"/>
      <name val=".VnTime"/>
      <family val="0"/>
    </font>
    <font>
      <b/>
      <sz val="14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88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" fillId="2" borderId="0" xfId="0" applyFont="1" applyFill="1" applyBorder="1" applyAlignment="1">
      <alignment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88" fontId="12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188" fontId="13" fillId="2" borderId="1" xfId="15" applyNumberFormat="1" applyFont="1" applyFill="1" applyBorder="1" applyAlignment="1">
      <alignment/>
    </xf>
    <xf numFmtId="0" fontId="7" fillId="2" borderId="1" xfId="15" applyNumberFormat="1" applyFont="1" applyFill="1" applyBorder="1" applyAlignment="1" quotePrefix="1">
      <alignment horizontal="center"/>
    </xf>
    <xf numFmtId="188" fontId="45" fillId="2" borderId="1" xfId="15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49" fontId="12" fillId="2" borderId="0" xfId="0" applyNumberFormat="1" applyFont="1" applyFill="1" applyAlignment="1">
      <alignment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/>
    </xf>
    <xf numFmtId="188" fontId="3" fillId="2" borderId="1" xfId="15" applyNumberFormat="1" applyFont="1" applyFill="1" applyBorder="1" applyAlignment="1">
      <alignment/>
    </xf>
    <xf numFmtId="189" fontId="4" fillId="2" borderId="1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88" fontId="6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/>
    </xf>
    <xf numFmtId="188" fontId="5" fillId="0" borderId="0" xfId="15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8" fontId="3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188" fontId="17" fillId="0" borderId="0" xfId="15" applyNumberFormat="1" applyFont="1" applyFill="1" applyAlignment="1">
      <alignment/>
    </xf>
    <xf numFmtId="188" fontId="11" fillId="0" borderId="0" xfId="15" applyNumberFormat="1" applyFont="1" applyFill="1" applyAlignment="1">
      <alignment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 quotePrefix="1">
      <alignment horizontal="left"/>
    </xf>
    <xf numFmtId="188" fontId="4" fillId="0" borderId="0" xfId="15" applyNumberFormat="1" applyFont="1" applyFill="1" applyAlignment="1" quotePrefix="1">
      <alignment horizontal="right" vertical="top"/>
    </xf>
    <xf numFmtId="0" fontId="4" fillId="0" borderId="0" xfId="0" applyFont="1" applyFill="1" applyAlignment="1">
      <alignment horizontal="right" vertical="top"/>
    </xf>
    <xf numFmtId="188" fontId="4" fillId="0" borderId="2" xfId="15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188" fontId="3" fillId="0" borderId="0" xfId="15" applyNumberFormat="1" applyFont="1" applyFill="1" applyAlignment="1">
      <alignment horizontal="right" vertical="top"/>
    </xf>
    <xf numFmtId="41" fontId="3" fillId="0" borderId="0" xfId="0" applyNumberFormat="1" applyFont="1" applyFill="1" applyAlignment="1">
      <alignment horizontal="right" vertical="top"/>
    </xf>
    <xf numFmtId="188" fontId="4" fillId="0" borderId="3" xfId="15" applyNumberFormat="1" applyFont="1" applyFill="1" applyBorder="1" applyAlignment="1">
      <alignment horizontal="right" vertical="top"/>
    </xf>
    <xf numFmtId="41" fontId="4" fillId="0" borderId="0" xfId="0" applyNumberFormat="1" applyFont="1" applyFill="1" applyAlignment="1">
      <alignment horizontal="right" vertical="top"/>
    </xf>
    <xf numFmtId="188" fontId="18" fillId="0" borderId="0" xfId="15" applyNumberFormat="1" applyFont="1" applyFill="1" applyBorder="1" applyAlignment="1">
      <alignment horizontal="right" vertical="top"/>
    </xf>
    <xf numFmtId="188" fontId="4" fillId="0" borderId="0" xfId="15" applyNumberFormat="1" applyFont="1" applyFill="1" applyBorder="1" applyAlignment="1">
      <alignment horizontal="right" vertical="top"/>
    </xf>
    <xf numFmtId="188" fontId="6" fillId="0" borderId="0" xfId="15" applyNumberFormat="1" applyFont="1" applyFill="1" applyBorder="1" applyAlignment="1">
      <alignment horizontal="right" vertical="top"/>
    </xf>
    <xf numFmtId="41" fontId="6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188" fontId="4" fillId="0" borderId="0" xfId="15" applyNumberFormat="1" applyFont="1" applyAlignment="1">
      <alignment/>
    </xf>
    <xf numFmtId="0" fontId="1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188" fontId="7" fillId="0" borderId="0" xfId="15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41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Alignment="1">
      <alignment/>
    </xf>
    <xf numFmtId="41" fontId="4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188" fontId="5" fillId="0" borderId="0" xfId="15" applyNumberFormat="1" applyFont="1" applyFill="1" applyBorder="1" applyAlignment="1">
      <alignment horizontal="right" vertical="top"/>
    </xf>
    <xf numFmtId="188" fontId="3" fillId="0" borderId="0" xfId="15" applyNumberFormat="1" applyFont="1" applyFill="1" applyBorder="1" applyAlignment="1">
      <alignment horizontal="right" vertical="top"/>
    </xf>
    <xf numFmtId="3" fontId="22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/>
    </xf>
    <xf numFmtId="0" fontId="3" fillId="2" borderId="1" xfId="15" applyNumberFormat="1" applyFont="1" applyFill="1" applyBorder="1" applyAlignment="1" quotePrefix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8" fontId="3" fillId="0" borderId="2" xfId="15" applyNumberFormat="1" applyFont="1" applyFill="1" applyBorder="1" applyAlignment="1">
      <alignment horizontal="center"/>
    </xf>
    <xf numFmtId="188" fontId="25" fillId="0" borderId="0" xfId="15" applyNumberFormat="1" applyFont="1" applyFill="1" applyAlignment="1">
      <alignment/>
    </xf>
    <xf numFmtId="188" fontId="10" fillId="0" borderId="0" xfId="15" applyNumberFormat="1" applyFont="1" applyFill="1" applyAlignment="1">
      <alignment/>
    </xf>
    <xf numFmtId="0" fontId="26" fillId="0" borderId="0" xfId="0" applyFont="1" applyFill="1" applyAlignment="1">
      <alignment horizontal="justify"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7" fillId="0" borderId="0" xfId="0" applyFont="1" applyFill="1" applyAlignment="1">
      <alignment/>
    </xf>
    <xf numFmtId="188" fontId="20" fillId="0" borderId="0" xfId="15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right" vertical="top"/>
    </xf>
    <xf numFmtId="188" fontId="20" fillId="0" borderId="0" xfId="15" applyNumberFormat="1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justify"/>
    </xf>
    <xf numFmtId="0" fontId="28" fillId="0" borderId="0" xfId="0" applyFont="1" applyFill="1" applyAlignment="1">
      <alignment/>
    </xf>
    <xf numFmtId="0" fontId="1" fillId="0" borderId="0" xfId="0" applyFont="1" applyFill="1" applyAlignment="1">
      <alignment/>
    </xf>
    <xf numFmtId="188" fontId="29" fillId="0" borderId="0" xfId="15" applyNumberFormat="1" applyFont="1" applyFill="1" applyAlignment="1">
      <alignment/>
    </xf>
    <xf numFmtId="188" fontId="1" fillId="0" borderId="0" xfId="15" applyNumberFormat="1" applyFont="1" applyFill="1" applyAlignment="1">
      <alignment/>
    </xf>
    <xf numFmtId="41" fontId="2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188" fontId="30" fillId="0" borderId="0" xfId="15" applyNumberFormat="1" applyFont="1" applyFill="1" applyAlignment="1">
      <alignment/>
    </xf>
    <xf numFmtId="0" fontId="28" fillId="0" borderId="0" xfId="0" applyFont="1" applyFill="1" applyAlignment="1">
      <alignment/>
    </xf>
    <xf numFmtId="188" fontId="28" fillId="0" borderId="0" xfId="15" applyNumberFormat="1" applyFont="1" applyFill="1" applyAlignment="1">
      <alignment/>
    </xf>
    <xf numFmtId="0" fontId="28" fillId="0" borderId="0" xfId="0" applyFont="1" applyAlignment="1">
      <alignment/>
    </xf>
    <xf numFmtId="0" fontId="26" fillId="0" borderId="0" xfId="0" applyFont="1" applyFill="1" applyAlignment="1">
      <alignment horizontal="left"/>
    </xf>
    <xf numFmtId="188" fontId="3" fillId="0" borderId="2" xfId="1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/>
    </xf>
    <xf numFmtId="188" fontId="3" fillId="0" borderId="0" xfId="15" applyNumberFormat="1" applyFont="1" applyFill="1" applyAlignment="1">
      <alignment/>
    </xf>
    <xf numFmtId="0" fontId="19" fillId="0" borderId="0" xfId="0" applyFont="1" applyFill="1" applyAlignment="1">
      <alignment/>
    </xf>
    <xf numFmtId="0" fontId="3" fillId="2" borderId="1" xfId="15" applyNumberFormat="1" applyFont="1" applyFill="1" applyBorder="1" applyAlignment="1" quotePrefix="1">
      <alignment horizontal="center" vertical="center"/>
    </xf>
    <xf numFmtId="188" fontId="0" fillId="2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188" fontId="18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188" fontId="4" fillId="0" borderId="0" xfId="15" applyNumberFormat="1" applyFont="1" applyFill="1" applyAlignment="1">
      <alignment/>
    </xf>
    <xf numFmtId="188" fontId="1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3" fontId="32" fillId="0" borderId="0" xfId="0" applyNumberFormat="1" applyFont="1" applyAlignment="1">
      <alignment horizontal="right" wrapText="1"/>
    </xf>
    <xf numFmtId="0" fontId="32" fillId="0" borderId="0" xfId="0" applyFont="1" applyAlignment="1">
      <alignment/>
    </xf>
    <xf numFmtId="188" fontId="4" fillId="0" borderId="4" xfId="15" applyNumberFormat="1" applyFont="1" applyFill="1" applyBorder="1" applyAlignment="1">
      <alignment horizontal="right" vertical="top"/>
    </xf>
    <xf numFmtId="188" fontId="26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41" fontId="26" fillId="0" borderId="0" xfId="0" applyNumberFormat="1" applyFont="1" applyFill="1" applyAlignment="1">
      <alignment/>
    </xf>
    <xf numFmtId="41" fontId="2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188" fontId="5" fillId="0" borderId="0" xfId="15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justify"/>
    </xf>
    <xf numFmtId="188" fontId="6" fillId="0" borderId="0" xfId="15" applyNumberFormat="1" applyFont="1" applyFill="1" applyAlignment="1">
      <alignment horizontal="right" vertical="top"/>
    </xf>
    <xf numFmtId="41" fontId="2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88" fontId="17" fillId="0" borderId="0" xfId="15" applyNumberFormat="1" applyFont="1" applyFill="1" applyAlignment="1">
      <alignment/>
    </xf>
    <xf numFmtId="0" fontId="7" fillId="0" borderId="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188" fontId="7" fillId="0" borderId="2" xfId="15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justify" vertical="top" wrapText="1"/>
    </xf>
    <xf numFmtId="188" fontId="13" fillId="0" borderId="0" xfId="15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right" vertical="top" wrapText="1"/>
    </xf>
    <xf numFmtId="41" fontId="13" fillId="0" borderId="0" xfId="0" applyNumberFormat="1" applyFont="1" applyFill="1" applyAlignment="1">
      <alignment horizontal="right" vertical="top"/>
    </xf>
    <xf numFmtId="0" fontId="16" fillId="0" borderId="0" xfId="0" applyFont="1" applyFill="1" applyAlignment="1">
      <alignment horizontal="right" vertical="top" wrapText="1"/>
    </xf>
    <xf numFmtId="41" fontId="12" fillId="0" borderId="0" xfId="0" applyNumberFormat="1" applyFont="1" applyFill="1" applyAlignment="1">
      <alignment horizontal="right" vertical="top"/>
    </xf>
    <xf numFmtId="188" fontId="13" fillId="0" borderId="0" xfId="15" applyNumberFormat="1" applyFont="1" applyFill="1" applyBorder="1" applyAlignment="1">
      <alignment horizontal="right" vertical="top"/>
    </xf>
    <xf numFmtId="41" fontId="16" fillId="0" borderId="0" xfId="0" applyNumberFormat="1" applyFont="1" applyFill="1" applyAlignment="1">
      <alignment horizontal="right" vertical="top"/>
    </xf>
    <xf numFmtId="188" fontId="16" fillId="0" borderId="0" xfId="15" applyNumberFormat="1" applyFont="1" applyFill="1" applyAlignment="1">
      <alignment horizontal="right" vertical="top"/>
    </xf>
    <xf numFmtId="41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88" fontId="13" fillId="0" borderId="0" xfId="15" applyNumberFormat="1" applyFont="1" applyFill="1" applyAlignment="1">
      <alignment horizontal="right" vertical="top"/>
    </xf>
    <xf numFmtId="188" fontId="13" fillId="0" borderId="0" xfId="15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justify" vertical="top" wrapText="1"/>
    </xf>
    <xf numFmtId="188" fontId="12" fillId="0" borderId="4" xfId="15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justify" wrapText="1"/>
    </xf>
    <xf numFmtId="41" fontId="18" fillId="0" borderId="0" xfId="0" applyNumberFormat="1" applyFont="1" applyFill="1" applyBorder="1" applyAlignment="1">
      <alignment horizontal="right" vertical="top"/>
    </xf>
    <xf numFmtId="41" fontId="18" fillId="0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top"/>
    </xf>
    <xf numFmtId="0" fontId="3" fillId="0" borderId="0" xfId="0" applyFont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vertical="top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top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188" fontId="36" fillId="0" borderId="0" xfId="15" applyNumberFormat="1" applyFont="1" applyFill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0" applyFont="1" applyFill="1" applyAlignment="1" quotePrefix="1">
      <alignment horizontal="left"/>
    </xf>
    <xf numFmtId="0" fontId="38" fillId="0" borderId="0" xfId="0" applyFont="1" applyFill="1" applyAlignment="1">
      <alignment vertical="top"/>
    </xf>
    <xf numFmtId="0" fontId="35" fillId="0" borderId="0" xfId="0" applyFont="1" applyFill="1" applyAlignment="1">
      <alignment/>
    </xf>
    <xf numFmtId="188" fontId="35" fillId="0" borderId="0" xfId="15" applyNumberFormat="1" applyFont="1" applyFill="1" applyAlignment="1">
      <alignment/>
    </xf>
    <xf numFmtId="0" fontId="34" fillId="0" borderId="0" xfId="0" applyFont="1" applyFill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88" fontId="13" fillId="0" borderId="3" xfId="15" applyNumberFormat="1" applyFont="1" applyFill="1" applyBorder="1" applyAlignment="1">
      <alignment horizontal="right" vertical="top"/>
    </xf>
    <xf numFmtId="188" fontId="3" fillId="0" borderId="3" xfId="15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center"/>
    </xf>
    <xf numFmtId="188" fontId="12" fillId="0" borderId="0" xfId="15" applyNumberFormat="1" applyFont="1" applyFill="1" applyBorder="1" applyAlignment="1">
      <alignment horizontal="right" vertical="top"/>
    </xf>
    <xf numFmtId="0" fontId="41" fillId="0" borderId="0" xfId="0" applyFont="1" applyAlignment="1">
      <alignment horizontal="left" indent="2"/>
    </xf>
    <xf numFmtId="188" fontId="42" fillId="0" borderId="0" xfId="0" applyNumberFormat="1" applyFont="1" applyFill="1" applyAlignment="1">
      <alignment/>
    </xf>
    <xf numFmtId="188" fontId="4" fillId="0" borderId="0" xfId="15" applyNumberFormat="1" applyFont="1" applyFill="1" applyAlignment="1">
      <alignment horizontal="right" vertical="top"/>
    </xf>
    <xf numFmtId="188" fontId="33" fillId="0" borderId="2" xfId="15" applyNumberFormat="1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right" vertical="top"/>
    </xf>
    <xf numFmtId="0" fontId="43" fillId="0" borderId="0" xfId="0" applyFont="1" applyAlignment="1">
      <alignment wrapText="1"/>
    </xf>
    <xf numFmtId="188" fontId="35" fillId="0" borderId="0" xfId="15" applyNumberFormat="1" applyFont="1" applyFill="1" applyAlignment="1">
      <alignment/>
    </xf>
    <xf numFmtId="0" fontId="44" fillId="0" borderId="0" xfId="0" applyFont="1" applyAlignment="1">
      <alignment horizontal="left" indent="2"/>
    </xf>
    <xf numFmtId="0" fontId="12" fillId="0" borderId="0" xfId="0" applyFont="1" applyFill="1" applyBorder="1" applyAlignment="1">
      <alignment horizontal="right" vertical="top"/>
    </xf>
    <xf numFmtId="188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88" fontId="0" fillId="0" borderId="0" xfId="15" applyNumberFormat="1" applyFont="1" applyFill="1" applyAlignment="1">
      <alignment/>
    </xf>
    <xf numFmtId="188" fontId="12" fillId="0" borderId="3" xfId="15" applyNumberFormat="1" applyFont="1" applyFill="1" applyBorder="1" applyAlignment="1">
      <alignment horizontal="right" vertical="top"/>
    </xf>
    <xf numFmtId="188" fontId="45" fillId="0" borderId="0" xfId="15" applyNumberFormat="1" applyFont="1" applyFill="1" applyAlignment="1">
      <alignment/>
    </xf>
    <xf numFmtId="0" fontId="46" fillId="0" borderId="0" xfId="0" applyFont="1" applyFill="1" applyAlignment="1">
      <alignment/>
    </xf>
    <xf numFmtId="37" fontId="11" fillId="0" borderId="0" xfId="0" applyNumberFormat="1" applyFont="1" applyFill="1" applyAlignment="1">
      <alignment/>
    </xf>
    <xf numFmtId="188" fontId="6" fillId="0" borderId="0" xfId="15" applyNumberFormat="1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188" fontId="48" fillId="0" borderId="0" xfId="15" applyNumberFormat="1" applyFont="1" applyFill="1" applyAlignment="1">
      <alignment horizontal="right" vertical="top"/>
    </xf>
    <xf numFmtId="0" fontId="48" fillId="0" borderId="0" xfId="0" applyFont="1" applyFill="1" applyAlignment="1">
      <alignment horizontal="right" vertical="top"/>
    </xf>
    <xf numFmtId="188" fontId="4" fillId="0" borderId="3" xfId="15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188" fontId="48" fillId="0" borderId="0" xfId="15" applyNumberFormat="1" applyFont="1" applyFill="1" applyAlignment="1">
      <alignment horizontal="right" vertical="top" wrapText="1"/>
    </xf>
    <xf numFmtId="0" fontId="48" fillId="0" borderId="0" xfId="0" applyFont="1" applyFill="1" applyAlignment="1">
      <alignment horizontal="right" vertical="top" wrapText="1"/>
    </xf>
    <xf numFmtId="0" fontId="3" fillId="0" borderId="0" xfId="0" applyFont="1" applyAlignment="1">
      <alignment wrapText="1"/>
    </xf>
    <xf numFmtId="188" fontId="5" fillId="0" borderId="0" xfId="15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41" fontId="11" fillId="0" borderId="0" xfId="0" applyNumberFormat="1" applyFont="1" applyFill="1" applyAlignment="1">
      <alignment/>
    </xf>
    <xf numFmtId="188" fontId="26" fillId="0" borderId="0" xfId="0" applyNumberFormat="1" applyFont="1" applyFill="1" applyAlignment="1">
      <alignment/>
    </xf>
    <xf numFmtId="188" fontId="11" fillId="0" borderId="0" xfId="0" applyNumberFormat="1" applyFont="1" applyFill="1" applyAlignment="1">
      <alignment/>
    </xf>
    <xf numFmtId="0" fontId="7" fillId="0" borderId="0" xfId="0" applyFont="1" applyFill="1" applyAlignment="1">
      <alignment horizontal="justify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center" vertical="top"/>
    </xf>
    <xf numFmtId="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4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/>
    </xf>
    <xf numFmtId="188" fontId="4" fillId="0" borderId="7" xfId="15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horizontal="justify" vertical="top" wrapText="1"/>
    </xf>
    <xf numFmtId="188" fontId="4" fillId="0" borderId="0" xfId="15" applyNumberFormat="1" applyFont="1" applyFill="1" applyBorder="1" applyAlignment="1">
      <alignment horizontal="justify" vertical="top"/>
    </xf>
    <xf numFmtId="0" fontId="3" fillId="0" borderId="8" xfId="0" applyFont="1" applyFill="1" applyBorder="1" applyAlignment="1">
      <alignment/>
    </xf>
    <xf numFmtId="188" fontId="4" fillId="0" borderId="10" xfId="15" applyNumberFormat="1" applyFont="1" applyFill="1" applyBorder="1" applyAlignment="1">
      <alignment horizontal="justify" vertical="top"/>
    </xf>
    <xf numFmtId="0" fontId="7" fillId="0" borderId="8" xfId="0" applyFont="1" applyFill="1" applyBorder="1" applyAlignment="1">
      <alignment vertical="top"/>
    </xf>
    <xf numFmtId="0" fontId="7" fillId="0" borderId="9" xfId="0" applyFont="1" applyFill="1" applyBorder="1" applyAlignment="1">
      <alignment horizontal="justify" vertical="top" wrapText="1"/>
    </xf>
    <xf numFmtId="188" fontId="7" fillId="0" borderId="0" xfId="15" applyNumberFormat="1" applyFont="1" applyFill="1" applyBorder="1" applyAlignment="1">
      <alignment horizontal="justify" vertical="top"/>
    </xf>
    <xf numFmtId="188" fontId="7" fillId="0" borderId="10" xfId="15" applyNumberFormat="1" applyFont="1" applyFill="1" applyBorder="1" applyAlignment="1">
      <alignment horizontal="justify" vertical="top"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horizontal="center" vertical="top" wrapText="1"/>
    </xf>
    <xf numFmtId="190" fontId="3" fillId="0" borderId="10" xfId="15" applyNumberFormat="1" applyFont="1" applyFill="1" applyBorder="1" applyAlignment="1">
      <alignment vertical="top"/>
    </xf>
    <xf numFmtId="0" fontId="3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188" fontId="7" fillId="0" borderId="10" xfId="15" applyNumberFormat="1" applyFont="1" applyFill="1" applyBorder="1" applyAlignment="1">
      <alignment vertical="top"/>
    </xf>
    <xf numFmtId="190" fontId="3" fillId="0" borderId="8" xfId="15" applyNumberFormat="1" applyFont="1" applyFill="1" applyBorder="1" applyAlignment="1">
      <alignment vertical="top"/>
    </xf>
    <xf numFmtId="190" fontId="3" fillId="0" borderId="0" xfId="15" applyNumberFormat="1" applyFont="1" applyFill="1" applyBorder="1" applyAlignment="1">
      <alignment vertical="top"/>
    </xf>
    <xf numFmtId="0" fontId="3" fillId="0" borderId="8" xfId="0" applyFont="1" applyFill="1" applyBorder="1" applyAlignment="1">
      <alignment horizontal="left" vertical="top" indent="2"/>
    </xf>
    <xf numFmtId="188" fontId="3" fillId="0" borderId="10" xfId="15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43" fontId="3" fillId="0" borderId="10" xfId="15" applyNumberFormat="1" applyFont="1" applyFill="1" applyBorder="1" applyAlignment="1">
      <alignment vertical="top"/>
    </xf>
    <xf numFmtId="0" fontId="4" fillId="0" borderId="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/>
    </xf>
    <xf numFmtId="188" fontId="18" fillId="0" borderId="13" xfId="15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/>
    </xf>
    <xf numFmtId="188" fontId="4" fillId="0" borderId="13" xfId="15" applyNumberFormat="1" applyFont="1" applyFill="1" applyBorder="1" applyAlignment="1">
      <alignment horizontal="center" vertical="top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188" fontId="18" fillId="0" borderId="0" xfId="15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188" fontId="11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188" fontId="3" fillId="2" borderId="1" xfId="15" applyNumberFormat="1" applyFont="1" applyFill="1" applyBorder="1" applyAlignment="1">
      <alignment horizontal="center"/>
    </xf>
    <xf numFmtId="188" fontId="0" fillId="2" borderId="1" xfId="15" applyNumberFormat="1" applyFont="1" applyFill="1" applyBorder="1" applyAlignment="1">
      <alignment/>
    </xf>
    <xf numFmtId="0" fontId="4" fillId="2" borderId="1" xfId="15" applyNumberFormat="1" applyFont="1" applyFill="1" applyBorder="1" applyAlignment="1" quotePrefix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1" fillId="0" borderId="0" xfId="0" applyFont="1" applyAlignment="1">
      <alignment/>
    </xf>
    <xf numFmtId="188" fontId="12" fillId="0" borderId="14" xfId="15" applyNumberFormat="1" applyFont="1" applyFill="1" applyBorder="1" applyAlignment="1">
      <alignment horizontal="right" vertical="top"/>
    </xf>
    <xf numFmtId="188" fontId="3" fillId="0" borderId="0" xfId="0" applyNumberFormat="1" applyFont="1" applyFill="1" applyAlignment="1">
      <alignment/>
    </xf>
    <xf numFmtId="188" fontId="1" fillId="2" borderId="0" xfId="0" applyNumberFormat="1" applyFont="1" applyFill="1" applyAlignment="1">
      <alignment/>
    </xf>
    <xf numFmtId="188" fontId="3" fillId="0" borderId="0" xfId="0" applyNumberFormat="1" applyFont="1" applyAlignment="1">
      <alignment/>
    </xf>
    <xf numFmtId="0" fontId="45" fillId="2" borderId="1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wrapText="1"/>
    </xf>
    <xf numFmtId="0" fontId="45" fillId="0" borderId="1" xfId="0" applyFont="1" applyBorder="1" applyAlignment="1">
      <alignment/>
    </xf>
    <xf numFmtId="188" fontId="45" fillId="0" borderId="1" xfId="0" applyNumberFormat="1" applyFont="1" applyBorder="1" applyAlignment="1">
      <alignment/>
    </xf>
    <xf numFmtId="0" fontId="45" fillId="0" borderId="0" xfId="0" applyFont="1" applyAlignment="1">
      <alignment/>
    </xf>
    <xf numFmtId="0" fontId="0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88" fontId="13" fillId="0" borderId="1" xfId="15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188" fontId="45" fillId="0" borderId="0" xfId="0" applyNumberFormat="1" applyFont="1" applyAlignment="1">
      <alignment/>
    </xf>
    <xf numFmtId="188" fontId="12" fillId="0" borderId="1" xfId="15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188" fontId="14" fillId="0" borderId="1" xfId="15" applyNumberFormat="1" applyFont="1" applyBorder="1" applyAlignment="1">
      <alignment/>
    </xf>
    <xf numFmtId="37" fontId="14" fillId="0" borderId="1" xfId="0" applyNumberFormat="1" applyFont="1" applyBorder="1" applyAlignment="1">
      <alignment/>
    </xf>
    <xf numFmtId="0" fontId="45" fillId="0" borderId="1" xfId="0" applyFont="1" applyBorder="1" applyAlignment="1">
      <alignment/>
    </xf>
    <xf numFmtId="0" fontId="45" fillId="0" borderId="0" xfId="0" applyFont="1" applyAlignment="1">
      <alignment/>
    </xf>
    <xf numFmtId="188" fontId="6" fillId="0" borderId="0" xfId="15" applyNumberFormat="1" applyFont="1" applyAlignment="1">
      <alignment/>
    </xf>
    <xf numFmtId="188" fontId="4" fillId="0" borderId="0" xfId="15" applyNumberFormat="1" applyFont="1" applyFill="1" applyAlignment="1">
      <alignment/>
    </xf>
    <xf numFmtId="188" fontId="7" fillId="0" borderId="0" xfId="15" applyNumberFormat="1" applyFont="1" applyAlignment="1">
      <alignment/>
    </xf>
    <xf numFmtId="188" fontId="3" fillId="0" borderId="0" xfId="15" applyNumberFormat="1" applyFont="1" applyAlignment="1">
      <alignment/>
    </xf>
    <xf numFmtId="188" fontId="4" fillId="0" borderId="0" xfId="15" applyNumberFormat="1" applyFont="1" applyAlignment="1">
      <alignment/>
    </xf>
    <xf numFmtId="188" fontId="34" fillId="0" borderId="0" xfId="15" applyNumberFormat="1" applyFont="1" applyAlignment="1">
      <alignment/>
    </xf>
    <xf numFmtId="188" fontId="3" fillId="0" borderId="0" xfId="15" applyNumberFormat="1" applyFont="1" applyAlignment="1">
      <alignment wrapText="1"/>
    </xf>
    <xf numFmtId="188" fontId="50" fillId="0" borderId="0" xfId="15" applyNumberFormat="1" applyFont="1" applyAlignment="1">
      <alignment/>
    </xf>
    <xf numFmtId="37" fontId="0" fillId="0" borderId="1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6" fillId="0" borderId="0" xfId="0" applyFont="1" applyFill="1" applyAlignment="1">
      <alignment horizontal="left" vertical="top" wrapText="1"/>
    </xf>
    <xf numFmtId="188" fontId="28" fillId="0" borderId="0" xfId="15" applyNumberFormat="1" applyFont="1" applyAlignment="1">
      <alignment/>
    </xf>
    <xf numFmtId="188" fontId="54" fillId="0" borderId="4" xfId="15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wrapText="1"/>
    </xf>
    <xf numFmtId="188" fontId="6" fillId="0" borderId="0" xfId="15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188" fontId="6" fillId="0" borderId="0" xfId="15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justify" vertical="justify" wrapText="1"/>
    </xf>
    <xf numFmtId="188" fontId="55" fillId="0" borderId="0" xfId="15" applyNumberFormat="1" applyFont="1" applyFill="1" applyAlignment="1">
      <alignment horizontal="right" vertical="top"/>
    </xf>
    <xf numFmtId="0" fontId="1" fillId="2" borderId="1" xfId="0" applyFont="1" applyFill="1" applyBorder="1" applyAlignment="1">
      <alignment wrapText="1"/>
    </xf>
    <xf numFmtId="188" fontId="14" fillId="2" borderId="1" xfId="15" applyNumberFormat="1" applyFont="1" applyFill="1" applyBorder="1" applyAlignment="1">
      <alignment/>
    </xf>
    <xf numFmtId="188" fontId="16" fillId="2" borderId="1" xfId="15" applyNumberFormat="1" applyFont="1" applyFill="1" applyBorder="1" applyAlignment="1">
      <alignment/>
    </xf>
    <xf numFmtId="3" fontId="31" fillId="0" borderId="0" xfId="0" applyNumberFormat="1" applyFont="1" applyAlignment="1">
      <alignment horizontal="right" wrapText="1"/>
    </xf>
    <xf numFmtId="188" fontId="26" fillId="0" borderId="3" xfId="15" applyNumberFormat="1" applyFont="1" applyFill="1" applyBorder="1" applyAlignment="1">
      <alignment horizontal="right" vertical="top"/>
    </xf>
    <xf numFmtId="0" fontId="27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189" fontId="3" fillId="2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88" fontId="5" fillId="0" borderId="0" xfId="15" applyNumberFormat="1" applyFont="1" applyFill="1" applyBorder="1" applyAlignment="1">
      <alignment/>
    </xf>
    <xf numFmtId="188" fontId="3" fillId="0" borderId="0" xfId="15" applyNumberFormat="1" applyFont="1" applyFill="1" applyBorder="1" applyAlignment="1">
      <alignment/>
    </xf>
    <xf numFmtId="43" fontId="1" fillId="2" borderId="0" xfId="15" applyFont="1" applyFill="1" applyAlignment="1">
      <alignment/>
    </xf>
    <xf numFmtId="188" fontId="1" fillId="2" borderId="0" xfId="15" applyNumberFormat="1" applyFont="1" applyFill="1" applyAlignment="1">
      <alignment/>
    </xf>
    <xf numFmtId="0" fontId="4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/>
    </xf>
    <xf numFmtId="4" fontId="14" fillId="2" borderId="0" xfId="0" applyNumberFormat="1" applyFont="1" applyFill="1" applyAlignment="1">
      <alignment/>
    </xf>
    <xf numFmtId="0" fontId="4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1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justify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188" fontId="4" fillId="0" borderId="0" xfId="15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N%20-%20B&#193;O%20C&#193;O%20K&#7870;T%20QU&#7842;%20KINH%20DOANH%20-%20QU&#2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anCongty_SD909_quy%20III_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huyet%20minh%20Bao%20cao%20tai%20chinh%20%20Hop%20nhat%20quy%20III%20nam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oanCongty_SD909_quy%20IV_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oanCongt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oanCongty%20QI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%20B&#193;O%20C&#193;O%20K&#7870;T%20QU&#7842;%20KINH%20DOANH%20QU&#221;%20-%20M&#7864;%20-%20Quy%202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 - BÁO CÁO KẾT QUẢ KINH DOANH"/>
    </sheetNames>
    <sheetDataSet>
      <sheetData sheetId="0">
        <row r="8">
          <cell r="D8">
            <v>36165188162</v>
          </cell>
          <cell r="F8">
            <v>53275147100</v>
          </cell>
        </row>
        <row r="23">
          <cell r="D23">
            <v>-59867090</v>
          </cell>
          <cell r="F23">
            <v>823572477</v>
          </cell>
        </row>
        <row r="26">
          <cell r="D26">
            <v>-265760209</v>
          </cell>
          <cell r="F26">
            <v>617679358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KD"/>
      <sheetName val="KQKD(Dung)"/>
      <sheetName val="KQKDCQ "/>
      <sheetName val="KQKDCQ  Luy ke"/>
      <sheetName val="CPSXKD Quy II Toan CT"/>
      <sheetName val="CPSXKD Quy Luy ke"/>
      <sheetName val="SSCP$SLQIII TCT"/>
      <sheetName val="SSCP$SLLuy ke"/>
      <sheetName val="CDSL Quy II TCT"/>
      <sheetName val="CDSL Luy ke"/>
      <sheetName val="CDSL Luy ke (2)"/>
      <sheetName val="Sheet2"/>
      <sheetName val="Sheet1"/>
      <sheetName val="KQKD nam"/>
      <sheetName val="00000000"/>
    </sheetNames>
    <sheetDataSet>
      <sheetData sheetId="0">
        <row r="12">
          <cell r="E12">
            <v>9674867969</v>
          </cell>
        </row>
        <row r="13">
          <cell r="E13">
            <v>0</v>
          </cell>
        </row>
        <row r="15">
          <cell r="E15">
            <v>12022845989</v>
          </cell>
        </row>
        <row r="19">
          <cell r="E19">
            <v>2851773386</v>
          </cell>
        </row>
        <row r="20">
          <cell r="E20">
            <v>0</v>
          </cell>
        </row>
        <row r="22">
          <cell r="E22">
            <v>1073126956</v>
          </cell>
        </row>
        <row r="29">
          <cell r="E29">
            <v>1707207896</v>
          </cell>
        </row>
        <row r="31">
          <cell r="E31">
            <v>22897161305</v>
          </cell>
        </row>
        <row r="42">
          <cell r="E42">
            <v>75379592628</v>
          </cell>
        </row>
        <row r="49">
          <cell r="E49">
            <v>-129926149</v>
          </cell>
        </row>
        <row r="51">
          <cell r="E51">
            <v>41416179024</v>
          </cell>
        </row>
        <row r="54">
          <cell r="E54">
            <v>-457637127</v>
          </cell>
        </row>
        <row r="56">
          <cell r="E56">
            <v>3700000000</v>
          </cell>
        </row>
        <row r="58">
          <cell r="E58">
            <v>550000000</v>
          </cell>
        </row>
        <row r="61">
          <cell r="E61">
            <v>594086720</v>
          </cell>
        </row>
        <row r="74">
          <cell r="E74">
            <v>38907805074</v>
          </cell>
        </row>
        <row r="75">
          <cell r="E75">
            <v>19598907413</v>
          </cell>
        </row>
        <row r="76">
          <cell r="E76">
            <v>1229769273</v>
          </cell>
        </row>
        <row r="84">
          <cell r="E84">
            <v>1416492161</v>
          </cell>
        </row>
        <row r="89">
          <cell r="E89">
            <v>3010553530</v>
          </cell>
        </row>
        <row r="101">
          <cell r="E101">
            <v>15159711426</v>
          </cell>
        </row>
        <row r="103">
          <cell r="E103">
            <v>3296250989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ẢNG CÂN ĐỐI KẾ TOÁN"/>
      <sheetName val="KQKD ban nien"/>
      <sheetName val="KQKD quy"/>
      <sheetName val="BC LCTT"/>
      <sheetName val="TM BCTC"/>
    </sheetNames>
    <sheetDataSet>
      <sheetData sheetId="3">
        <row r="17">
          <cell r="D17">
            <v>-11753378515</v>
          </cell>
        </row>
        <row r="26">
          <cell r="D26">
            <v>-2373012500</v>
          </cell>
        </row>
        <row r="34">
          <cell r="D34">
            <v>15872660005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KD"/>
      <sheetName val="KQKD(Dung)"/>
      <sheetName val="KQKDCQ "/>
      <sheetName val="KQKDCQ  Luy ke"/>
      <sheetName val="CPSXKD Quy II Toan CT"/>
      <sheetName val="CPSXKD nam 2011"/>
      <sheetName val="SSCP$SLQIII TCT"/>
      <sheetName val="SSCP$SLLuy ke"/>
      <sheetName val="CDSL Quy II TCT"/>
      <sheetName val="CDSL Luy ke"/>
      <sheetName val="CDSL Luy ke (2)"/>
      <sheetName val="Sheet2"/>
      <sheetName val="Sheet1"/>
      <sheetName val="KQKD nam"/>
      <sheetName val="00000000"/>
    </sheetNames>
    <sheetDataSet>
      <sheetData sheetId="0">
        <row r="20">
          <cell r="E20">
            <v>0</v>
          </cell>
        </row>
        <row r="21">
          <cell r="E2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KD"/>
      <sheetName val="CDKT"/>
      <sheetName val="KQKD(Dung)"/>
      <sheetName val="KQKDCQ "/>
      <sheetName val="KQKDCQ  Luy ke"/>
      <sheetName val="CPSXKD Quy II Toan CT"/>
      <sheetName val="CPSXKD nam 2011"/>
      <sheetName val="SSCP$SLQIII TCT"/>
      <sheetName val="SSCP$SLLuy ke"/>
      <sheetName val="CDSL Quy II TCT"/>
      <sheetName val="CDSL Luy ke"/>
      <sheetName val="CDSL Luy ke (2)"/>
      <sheetName val="Sheet2"/>
      <sheetName val="Sheet1"/>
      <sheetName val="KQKD nam"/>
      <sheetName val="00000000"/>
    </sheetNames>
    <sheetDataSet>
      <sheetData sheetId="1">
        <row r="13">
          <cell r="E1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QKD"/>
      <sheetName val="CDKT"/>
      <sheetName val="KQKD(Dung)"/>
      <sheetName val="KQKDCQ "/>
      <sheetName val="KQKDCQ  Luy ke"/>
      <sheetName val="CPSXKD Quy II Toan CT"/>
      <sheetName val="CPSXKD nam 2011"/>
      <sheetName val="SSCP$SLQIII TCT"/>
      <sheetName val="SSCP$SLLuy ke"/>
      <sheetName val="CDSL Quy II TCT"/>
      <sheetName val="CDSL Luy ke"/>
      <sheetName val="CDSL Luy ke (2)"/>
      <sheetName val="Sheet2"/>
      <sheetName val="Sheet1"/>
      <sheetName val="KQKD nam"/>
      <sheetName val="00000000"/>
    </sheetNames>
    <sheetDataSet>
      <sheetData sheetId="1">
        <row r="12">
          <cell r="E12">
            <v>3627714871</v>
          </cell>
        </row>
        <row r="15">
          <cell r="E15">
            <v>9797118800</v>
          </cell>
        </row>
        <row r="16">
          <cell r="E16">
            <v>-6182818777</v>
          </cell>
        </row>
        <row r="18">
          <cell r="E18">
            <v>44298268370</v>
          </cell>
        </row>
        <row r="19">
          <cell r="E19">
            <v>2234048917</v>
          </cell>
        </row>
        <row r="22">
          <cell r="E22">
            <v>1373376329</v>
          </cell>
        </row>
        <row r="23">
          <cell r="E23">
            <v>-60357410</v>
          </cell>
        </row>
        <row r="25">
          <cell r="E25">
            <v>53283933008</v>
          </cell>
        </row>
        <row r="28">
          <cell r="E28">
            <v>320854839</v>
          </cell>
        </row>
        <row r="29">
          <cell r="E29">
            <v>1993868828</v>
          </cell>
        </row>
        <row r="30">
          <cell r="E30">
            <v>121634402</v>
          </cell>
        </row>
        <row r="31">
          <cell r="E31">
            <v>20807497621</v>
          </cell>
        </row>
        <row r="42">
          <cell r="E42">
            <v>74163680218</v>
          </cell>
        </row>
        <row r="43">
          <cell r="E43">
            <v>-55289360008</v>
          </cell>
        </row>
        <row r="48">
          <cell r="E48">
            <v>367425000</v>
          </cell>
        </row>
        <row r="49">
          <cell r="E49">
            <v>-168657397</v>
          </cell>
        </row>
        <row r="51">
          <cell r="E51">
            <v>42151941158</v>
          </cell>
        </row>
        <row r="54">
          <cell r="E54">
            <v>-675980259</v>
          </cell>
        </row>
        <row r="56">
          <cell r="E56">
            <v>6780000000</v>
          </cell>
        </row>
        <row r="61">
          <cell r="E61">
            <v>272080594</v>
          </cell>
        </row>
        <row r="74">
          <cell r="E74">
            <v>34680209457</v>
          </cell>
        </row>
        <row r="75">
          <cell r="E75">
            <v>10826638517</v>
          </cell>
        </row>
        <row r="76">
          <cell r="E76">
            <v>6157289000</v>
          </cell>
        </row>
        <row r="77">
          <cell r="E77">
            <v>5607310218</v>
          </cell>
        </row>
        <row r="78">
          <cell r="E78">
            <v>2040585031</v>
          </cell>
        </row>
        <row r="79">
          <cell r="E79">
            <v>6915006995</v>
          </cell>
        </row>
        <row r="82">
          <cell r="E82">
            <v>3434417716</v>
          </cell>
        </row>
        <row r="83">
          <cell r="E83">
            <v>900804954</v>
          </cell>
        </row>
        <row r="84">
          <cell r="E84">
            <v>144480066</v>
          </cell>
        </row>
        <row r="89">
          <cell r="E89">
            <v>2920553530</v>
          </cell>
        </row>
        <row r="91">
          <cell r="E91">
            <v>342368666</v>
          </cell>
        </row>
        <row r="96">
          <cell r="E96">
            <v>124969290000</v>
          </cell>
        </row>
        <row r="101">
          <cell r="E101">
            <v>5169176926</v>
          </cell>
        </row>
        <row r="103">
          <cell r="E103">
            <v>3296250989</v>
          </cell>
        </row>
        <row r="105">
          <cell r="E105">
            <v>5935930221</v>
          </cell>
        </row>
      </sheetData>
      <sheetData sheetId="2">
        <row r="13">
          <cell r="G13">
            <v>23312732068</v>
          </cell>
          <cell r="I13">
            <v>86856741226</v>
          </cell>
        </row>
        <row r="14">
          <cell r="G14">
            <v>64296540</v>
          </cell>
          <cell r="I14">
            <v>893770874</v>
          </cell>
        </row>
        <row r="17">
          <cell r="G17">
            <v>16125318779</v>
          </cell>
          <cell r="I17">
            <v>65497234299</v>
          </cell>
        </row>
        <row r="20">
          <cell r="G20">
            <v>10863344</v>
          </cell>
          <cell r="I20">
            <v>1880789699</v>
          </cell>
        </row>
        <row r="21">
          <cell r="G21">
            <v>2695934315</v>
          </cell>
          <cell r="I21">
            <v>6704551344</v>
          </cell>
        </row>
        <row r="22">
          <cell r="G22">
            <v>1402329315</v>
          </cell>
          <cell r="I22">
            <v>5410946344</v>
          </cell>
        </row>
        <row r="24">
          <cell r="G24">
            <v>3081688806</v>
          </cell>
          <cell r="I24">
            <v>9460037744</v>
          </cell>
        </row>
        <row r="27">
          <cell r="I27">
            <v>324809091</v>
          </cell>
        </row>
        <row r="28">
          <cell r="I28">
            <v>21312675</v>
          </cell>
        </row>
        <row r="32">
          <cell r="G32">
            <v>339089243</v>
          </cell>
          <cell r="I32">
            <v>1621358270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N - BÁO CÁO KẾT QUẢ KINH DOANH"/>
    </sheetNames>
    <sheetDataSet>
      <sheetData sheetId="0">
        <row r="10">
          <cell r="E10">
            <v>44498351</v>
          </cell>
        </row>
        <row r="12">
          <cell r="E12">
            <v>18568853164</v>
          </cell>
        </row>
        <row r="14">
          <cell r="E14">
            <v>373494764</v>
          </cell>
        </row>
        <row r="15">
          <cell r="E15">
            <v>2539257155</v>
          </cell>
        </row>
        <row r="16">
          <cell r="E16">
            <v>1954319082</v>
          </cell>
        </row>
        <row r="18">
          <cell r="E18">
            <v>2313914461</v>
          </cell>
        </row>
        <row r="21">
          <cell r="E21">
            <v>1500000</v>
          </cell>
        </row>
        <row r="24">
          <cell r="E24">
            <v>98431118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workbookViewId="0" topLeftCell="A1">
      <selection activeCell="A70" sqref="A70"/>
    </sheetView>
  </sheetViews>
  <sheetFormatPr defaultColWidth="9.140625" defaultRowHeight="12"/>
  <cols>
    <col min="1" max="1" width="44.28125" style="0" customWidth="1"/>
    <col min="2" max="2" width="8.421875" style="0" customWidth="1"/>
    <col min="3" max="3" width="9.57421875" style="0" customWidth="1"/>
    <col min="4" max="5" width="17.7109375" style="0" customWidth="1"/>
    <col min="6" max="6" width="19.00390625" style="0" customWidth="1"/>
  </cols>
  <sheetData>
    <row r="1" spans="1:5" s="1" customFormat="1" ht="12">
      <c r="A1" s="342" t="s">
        <v>232</v>
      </c>
      <c r="B1" s="343"/>
      <c r="C1" s="341" t="s">
        <v>25</v>
      </c>
      <c r="D1" s="341"/>
      <c r="E1" s="341"/>
    </row>
    <row r="2" spans="1:5" s="1" customFormat="1" ht="12">
      <c r="A2" s="343" t="s">
        <v>233</v>
      </c>
      <c r="B2" s="343"/>
      <c r="C2" s="341" t="s">
        <v>593</v>
      </c>
      <c r="D2" s="341"/>
      <c r="E2" s="341"/>
    </row>
    <row r="3" spans="1:5" s="1" customFormat="1" ht="12">
      <c r="A3" s="343" t="s">
        <v>234</v>
      </c>
      <c r="B3" s="343"/>
      <c r="C3" s="12"/>
      <c r="D3" s="12"/>
      <c r="E3" s="12"/>
    </row>
    <row r="4" spans="1:5" s="1" customFormat="1" ht="12">
      <c r="A4" s="341" t="s">
        <v>267</v>
      </c>
      <c r="B4" s="341"/>
      <c r="C4" s="341"/>
      <c r="D4" s="341"/>
      <c r="E4" s="341"/>
    </row>
    <row r="5" spans="1:5" s="1" customFormat="1" ht="19.5" customHeight="1">
      <c r="A5" s="340" t="s">
        <v>268</v>
      </c>
      <c r="B5" s="340"/>
      <c r="C5" s="340"/>
      <c r="D5" s="340"/>
      <c r="E5" s="340"/>
    </row>
    <row r="6" s="1" customFormat="1" ht="12">
      <c r="E6" s="13" t="s">
        <v>266</v>
      </c>
    </row>
    <row r="7" spans="1:5" s="282" customFormat="1" ht="25.5">
      <c r="A7" s="281" t="s">
        <v>26</v>
      </c>
      <c r="B7" s="281" t="s">
        <v>27</v>
      </c>
      <c r="C7" s="281" t="s">
        <v>28</v>
      </c>
      <c r="D7" s="281" t="s">
        <v>30</v>
      </c>
      <c r="E7" s="281" t="s">
        <v>29</v>
      </c>
    </row>
    <row r="8" spans="1:5" s="285" customFormat="1" ht="19.5" customHeight="1">
      <c r="A8" s="283" t="s">
        <v>31</v>
      </c>
      <c r="B8" s="283"/>
      <c r="C8" s="283"/>
      <c r="D8" s="284"/>
      <c r="E8" s="284"/>
    </row>
    <row r="9" spans="1:5" s="285" customFormat="1" ht="19.5" customHeight="1">
      <c r="A9" s="283" t="s">
        <v>32</v>
      </c>
      <c r="B9" s="283" t="s">
        <v>33</v>
      </c>
      <c r="C9" s="283"/>
      <c r="D9" s="284">
        <f>D10+D13+D16+D23+D26</f>
        <v>131615139798</v>
      </c>
      <c r="E9" s="284">
        <f>E10+E13+E16+E23+E26</f>
        <v>139286445628</v>
      </c>
    </row>
    <row r="10" spans="1:5" s="285" customFormat="1" ht="19.5" customHeight="1">
      <c r="A10" s="283" t="s">
        <v>34</v>
      </c>
      <c r="B10" s="283" t="s">
        <v>35</v>
      </c>
      <c r="C10" s="283"/>
      <c r="D10" s="284">
        <f>D11+D12</f>
        <v>3627714871</v>
      </c>
      <c r="E10" s="284">
        <f>E11+E12</f>
        <v>9674867969</v>
      </c>
    </row>
    <row r="11" spans="1:5" s="285" customFormat="1" ht="19.5" customHeight="1">
      <c r="A11" s="286" t="s">
        <v>36</v>
      </c>
      <c r="B11" s="286" t="s">
        <v>37</v>
      </c>
      <c r="C11" s="287" t="s">
        <v>235</v>
      </c>
      <c r="D11" s="288">
        <f>'[6]CDKT'!$E$12</f>
        <v>3627714871</v>
      </c>
      <c r="E11" s="288">
        <f>'[2]CDKT'!$E$12</f>
        <v>9674867969</v>
      </c>
    </row>
    <row r="12" spans="1:5" s="285" customFormat="1" ht="19.5" customHeight="1">
      <c r="A12" s="286" t="s">
        <v>38</v>
      </c>
      <c r="B12" s="286" t="s">
        <v>39</v>
      </c>
      <c r="C12" s="289"/>
      <c r="D12" s="288">
        <f>'[5]CDKT'!$E$13</f>
        <v>0</v>
      </c>
      <c r="E12" s="305">
        <f>'[2]CDKT'!$E$13</f>
        <v>0</v>
      </c>
    </row>
    <row r="13" spans="1:5" s="285" customFormat="1" ht="19.5" customHeight="1">
      <c r="A13" s="283" t="s">
        <v>40</v>
      </c>
      <c r="B13" s="283" t="s">
        <v>41</v>
      </c>
      <c r="C13" s="289" t="s">
        <v>236</v>
      </c>
      <c r="D13" s="284">
        <f>D14+D15</f>
        <v>3614300023</v>
      </c>
      <c r="E13" s="284">
        <f>E14+E15</f>
        <v>4078120000</v>
      </c>
    </row>
    <row r="14" spans="1:5" s="285" customFormat="1" ht="19.5" customHeight="1">
      <c r="A14" s="286" t="s">
        <v>42</v>
      </c>
      <c r="B14" s="286" t="s">
        <v>43</v>
      </c>
      <c r="C14" s="286"/>
      <c r="D14" s="288">
        <f>'[6]CDKT'!$E$15</f>
        <v>9797118800</v>
      </c>
      <c r="E14" s="288">
        <f>'[2]CDKT'!$E$15</f>
        <v>12022845989</v>
      </c>
    </row>
    <row r="15" spans="1:5" s="285" customFormat="1" ht="19.5" customHeight="1">
      <c r="A15" s="286" t="s">
        <v>44</v>
      </c>
      <c r="B15" s="286" t="s">
        <v>45</v>
      </c>
      <c r="C15" s="286"/>
      <c r="D15" s="288">
        <f>'[6]CDKT'!$E$16</f>
        <v>-6182818777</v>
      </c>
      <c r="E15" s="288">
        <v>-7944725989</v>
      </c>
    </row>
    <row r="16" spans="1:5" s="285" customFormat="1" ht="19.5" customHeight="1">
      <c r="A16" s="283" t="s">
        <v>46</v>
      </c>
      <c r="B16" s="283" t="s">
        <v>47</v>
      </c>
      <c r="C16" s="283"/>
      <c r="D16" s="284">
        <f>SUM(D17:D22)</f>
        <v>47845336206</v>
      </c>
      <c r="E16" s="284">
        <f>SUM(E17:E22)</f>
        <v>32291960340</v>
      </c>
    </row>
    <row r="17" spans="1:6" s="285" customFormat="1" ht="19.5" customHeight="1">
      <c r="A17" s="286" t="s">
        <v>48</v>
      </c>
      <c r="B17" s="286" t="s">
        <v>49</v>
      </c>
      <c r="C17" s="287" t="s">
        <v>237</v>
      </c>
      <c r="D17" s="288">
        <f>'[6]CDKT'!$E$18</f>
        <v>44298268370</v>
      </c>
      <c r="E17" s="288">
        <v>28427417408</v>
      </c>
      <c r="F17" s="290"/>
    </row>
    <row r="18" spans="1:5" s="285" customFormat="1" ht="19.5" customHeight="1">
      <c r="A18" s="286" t="s">
        <v>50</v>
      </c>
      <c r="B18" s="286" t="s">
        <v>51</v>
      </c>
      <c r="C18" s="287" t="s">
        <v>238</v>
      </c>
      <c r="D18" s="288">
        <f>'[6]CDKT'!$E$19</f>
        <v>2234048917</v>
      </c>
      <c r="E18" s="288">
        <f>'[2]CDKT'!$E$19</f>
        <v>2851773386</v>
      </c>
    </row>
    <row r="19" spans="1:5" s="285" customFormat="1" ht="19.5" customHeight="1">
      <c r="A19" s="286" t="s">
        <v>52</v>
      </c>
      <c r="B19" s="286" t="s">
        <v>53</v>
      </c>
      <c r="C19" s="286"/>
      <c r="D19" s="305">
        <f>'[4]CDKT'!$E$20</f>
        <v>0</v>
      </c>
      <c r="E19" s="286">
        <v>0</v>
      </c>
    </row>
    <row r="20" spans="1:5" s="285" customFormat="1" ht="19.5" customHeight="1">
      <c r="A20" s="286" t="s">
        <v>54</v>
      </c>
      <c r="B20" s="286" t="s">
        <v>55</v>
      </c>
      <c r="C20" s="286"/>
      <c r="D20" s="305">
        <f>'[4]CDKT'!$E$21</f>
        <v>0</v>
      </c>
      <c r="E20" s="305">
        <f>'[2]CDKT'!$E$20</f>
        <v>0</v>
      </c>
    </row>
    <row r="21" spans="1:5" s="285" customFormat="1" ht="19.5" customHeight="1">
      <c r="A21" s="286" t="s">
        <v>56</v>
      </c>
      <c r="B21" s="286" t="s">
        <v>57</v>
      </c>
      <c r="C21" s="287" t="s">
        <v>239</v>
      </c>
      <c r="D21" s="288">
        <f>'[6]CDKT'!$E$22</f>
        <v>1373376329</v>
      </c>
      <c r="E21" s="288">
        <f>'[2]CDKT'!$E$22</f>
        <v>1073126956</v>
      </c>
    </row>
    <row r="22" spans="1:5" s="285" customFormat="1" ht="19.5" customHeight="1">
      <c r="A22" s="286" t="s">
        <v>58</v>
      </c>
      <c r="B22" s="286" t="s">
        <v>59</v>
      </c>
      <c r="C22" s="287" t="s">
        <v>240</v>
      </c>
      <c r="D22" s="288">
        <f>'[6]CDKT'!$E$23</f>
        <v>-60357410</v>
      </c>
      <c r="E22" s="288">
        <v>-60357410</v>
      </c>
    </row>
    <row r="23" spans="1:5" s="285" customFormat="1" ht="19.5" customHeight="1">
      <c r="A23" s="283" t="s">
        <v>60</v>
      </c>
      <c r="B23" s="283" t="s">
        <v>61</v>
      </c>
      <c r="C23" s="283"/>
      <c r="D23" s="284">
        <f>SUM(D24:D25)</f>
        <v>53283933008</v>
      </c>
      <c r="E23" s="284">
        <f>SUM(E24:E25)</f>
        <v>66800281736</v>
      </c>
    </row>
    <row r="24" spans="1:5" s="285" customFormat="1" ht="19.5" customHeight="1">
      <c r="A24" s="286" t="s">
        <v>62</v>
      </c>
      <c r="B24" s="286" t="s">
        <v>63</v>
      </c>
      <c r="C24" s="287" t="s">
        <v>241</v>
      </c>
      <c r="D24" s="288">
        <f>'[6]CDKT'!$E$25</f>
        <v>53283933008</v>
      </c>
      <c r="E24" s="288">
        <v>66800281736</v>
      </c>
    </row>
    <row r="25" spans="1:5" s="285" customFormat="1" ht="19.5" customHeight="1">
      <c r="A25" s="286" t="s">
        <v>64</v>
      </c>
      <c r="B25" s="286" t="s">
        <v>65</v>
      </c>
      <c r="C25" s="286"/>
      <c r="D25" s="286">
        <v>0</v>
      </c>
      <c r="E25" s="286">
        <v>0</v>
      </c>
    </row>
    <row r="26" spans="1:5" s="285" customFormat="1" ht="19.5" customHeight="1">
      <c r="A26" s="283" t="s">
        <v>66</v>
      </c>
      <c r="B26" s="283" t="s">
        <v>67</v>
      </c>
      <c r="C26" s="283"/>
      <c r="D26" s="284">
        <f>SUM(D27:D30)</f>
        <v>23243855690</v>
      </c>
      <c r="E26" s="284">
        <f>SUM(E27:E30)</f>
        <v>26441215583</v>
      </c>
    </row>
    <row r="27" spans="1:5" s="285" customFormat="1" ht="19.5" customHeight="1">
      <c r="A27" s="286" t="s">
        <v>68</v>
      </c>
      <c r="B27" s="286" t="s">
        <v>69</v>
      </c>
      <c r="C27" s="287" t="s">
        <v>242</v>
      </c>
      <c r="D27" s="288">
        <f>'[6]CDKT'!$E$28</f>
        <v>320854839</v>
      </c>
      <c r="E27" s="288">
        <v>93853710</v>
      </c>
    </row>
    <row r="28" spans="1:5" s="285" customFormat="1" ht="19.5" customHeight="1">
      <c r="A28" s="286" t="s">
        <v>70</v>
      </c>
      <c r="B28" s="286" t="s">
        <v>71</v>
      </c>
      <c r="C28" s="287" t="s">
        <v>243</v>
      </c>
      <c r="D28" s="288">
        <f>'[6]CDKT'!$E$29</f>
        <v>1993868828</v>
      </c>
      <c r="E28" s="288">
        <f>'[2]CDKT'!$E$29</f>
        <v>1707207896</v>
      </c>
    </row>
    <row r="29" spans="1:5" s="285" customFormat="1" ht="19.5" customHeight="1">
      <c r="A29" s="286" t="s">
        <v>72</v>
      </c>
      <c r="B29" s="286" t="s">
        <v>73</v>
      </c>
      <c r="C29" s="287"/>
      <c r="D29" s="288">
        <f>'[6]CDKT'!$E$30</f>
        <v>121634402</v>
      </c>
      <c r="E29" s="288">
        <v>1742992672</v>
      </c>
    </row>
    <row r="30" spans="1:5" s="285" customFormat="1" ht="19.5" customHeight="1">
      <c r="A30" s="286" t="s">
        <v>74</v>
      </c>
      <c r="B30" s="286" t="s">
        <v>75</v>
      </c>
      <c r="C30" s="287" t="s">
        <v>244</v>
      </c>
      <c r="D30" s="288">
        <f>'[6]CDKT'!$E$31</f>
        <v>20807497621</v>
      </c>
      <c r="E30" s="288">
        <f>'[2]CDKT'!$E$31</f>
        <v>22897161305</v>
      </c>
    </row>
    <row r="31" spans="1:5" s="285" customFormat="1" ht="19.5" customHeight="1">
      <c r="A31" s="283" t="s">
        <v>76</v>
      </c>
      <c r="B31" s="283" t="s">
        <v>77</v>
      </c>
      <c r="C31" s="283"/>
      <c r="D31" s="284">
        <f>D32+D38+D49+D52+D57</f>
        <v>82707338488</v>
      </c>
      <c r="E31" s="284">
        <f>E32+E38+E49+E52+E57</f>
        <v>84069297222</v>
      </c>
    </row>
    <row r="32" spans="1:5" s="285" customFormat="1" ht="19.5" customHeight="1">
      <c r="A32" s="283" t="s">
        <v>78</v>
      </c>
      <c r="B32" s="283" t="s">
        <v>79</v>
      </c>
      <c r="C32" s="283"/>
      <c r="D32" s="283">
        <v>0</v>
      </c>
      <c r="E32" s="283">
        <v>0</v>
      </c>
    </row>
    <row r="33" spans="1:5" s="285" customFormat="1" ht="19.5" customHeight="1">
      <c r="A33" s="286" t="s">
        <v>80</v>
      </c>
      <c r="B33" s="286" t="s">
        <v>81</v>
      </c>
      <c r="C33" s="286"/>
      <c r="D33" s="286">
        <v>0</v>
      </c>
      <c r="E33" s="286">
        <v>0</v>
      </c>
    </row>
    <row r="34" spans="1:5" s="285" customFormat="1" ht="19.5" customHeight="1">
      <c r="A34" s="286" t="s">
        <v>82</v>
      </c>
      <c r="B34" s="286" t="s">
        <v>83</v>
      </c>
      <c r="C34" s="286"/>
      <c r="D34" s="286">
        <v>0</v>
      </c>
      <c r="E34" s="286">
        <v>0</v>
      </c>
    </row>
    <row r="35" spans="1:5" s="285" customFormat="1" ht="19.5" customHeight="1">
      <c r="A35" s="286" t="s">
        <v>84</v>
      </c>
      <c r="B35" s="286" t="s">
        <v>85</v>
      </c>
      <c r="C35" s="286"/>
      <c r="D35" s="286">
        <v>0</v>
      </c>
      <c r="E35" s="286">
        <v>0</v>
      </c>
    </row>
    <row r="36" spans="1:5" s="285" customFormat="1" ht="19.5" customHeight="1">
      <c r="A36" s="286" t="s">
        <v>86</v>
      </c>
      <c r="B36" s="286" t="s">
        <v>87</v>
      </c>
      <c r="C36" s="286"/>
      <c r="D36" s="286">
        <v>0</v>
      </c>
      <c r="E36" s="286">
        <v>0</v>
      </c>
    </row>
    <row r="37" spans="1:5" s="285" customFormat="1" ht="19.5" customHeight="1">
      <c r="A37" s="286" t="s">
        <v>88</v>
      </c>
      <c r="B37" s="286" t="s">
        <v>89</v>
      </c>
      <c r="C37" s="286"/>
      <c r="D37" s="286">
        <v>0</v>
      </c>
      <c r="E37" s="286">
        <v>0</v>
      </c>
    </row>
    <row r="38" spans="1:5" s="285" customFormat="1" ht="19.5" customHeight="1">
      <c r="A38" s="283" t="s">
        <v>90</v>
      </c>
      <c r="B38" s="283" t="s">
        <v>91</v>
      </c>
      <c r="C38" s="283"/>
      <c r="D38" s="284">
        <f>D39+D42+D45+D48</f>
        <v>61225028971</v>
      </c>
      <c r="E38" s="284">
        <f>E39+E42+E45+E48</f>
        <v>65126638447</v>
      </c>
    </row>
    <row r="39" spans="1:5" s="285" customFormat="1" ht="19.5" customHeight="1">
      <c r="A39" s="283" t="s">
        <v>92</v>
      </c>
      <c r="B39" s="283" t="s">
        <v>93</v>
      </c>
      <c r="C39" s="287" t="s">
        <v>245</v>
      </c>
      <c r="D39" s="291">
        <f>SUM(D40:D41)</f>
        <v>18874320210</v>
      </c>
      <c r="E39" s="291">
        <f>SUM(E40:E41)</f>
        <v>23472960572</v>
      </c>
    </row>
    <row r="40" spans="1:5" s="285" customFormat="1" ht="19.5" customHeight="1">
      <c r="A40" s="286" t="s">
        <v>94</v>
      </c>
      <c r="B40" s="286" t="s">
        <v>95</v>
      </c>
      <c r="C40" s="292"/>
      <c r="D40" s="293">
        <f>'[6]CDKT'!$E$42</f>
        <v>74163680218</v>
      </c>
      <c r="E40" s="293">
        <f>'[2]CDKT'!$E$42</f>
        <v>75379592628</v>
      </c>
    </row>
    <row r="41" spans="1:5" s="285" customFormat="1" ht="19.5" customHeight="1">
      <c r="A41" s="286" t="s">
        <v>96</v>
      </c>
      <c r="B41" s="286" t="s">
        <v>97</v>
      </c>
      <c r="C41" s="292"/>
      <c r="D41" s="293">
        <f>'[6]CDKT'!$E$43</f>
        <v>-55289360008</v>
      </c>
      <c r="E41" s="293">
        <v>-51906632056</v>
      </c>
    </row>
    <row r="42" spans="1:5" s="285" customFormat="1" ht="19.5" customHeight="1">
      <c r="A42" s="283" t="s">
        <v>98</v>
      </c>
      <c r="B42" s="283" t="s">
        <v>99</v>
      </c>
      <c r="C42" s="283"/>
      <c r="D42" s="283">
        <v>0</v>
      </c>
      <c r="E42" s="283">
        <v>0</v>
      </c>
    </row>
    <row r="43" spans="1:5" s="285" customFormat="1" ht="19.5" customHeight="1">
      <c r="A43" s="286" t="s">
        <v>94</v>
      </c>
      <c r="B43" s="286" t="s">
        <v>100</v>
      </c>
      <c r="C43" s="286"/>
      <c r="D43" s="286">
        <v>0</v>
      </c>
      <c r="E43" s="286">
        <v>0</v>
      </c>
    </row>
    <row r="44" spans="1:5" s="285" customFormat="1" ht="19.5" customHeight="1">
      <c r="A44" s="286" t="s">
        <v>96</v>
      </c>
      <c r="B44" s="286" t="s">
        <v>101</v>
      </c>
      <c r="C44" s="286"/>
      <c r="D44" s="286">
        <v>0</v>
      </c>
      <c r="E44" s="286">
        <v>0</v>
      </c>
    </row>
    <row r="45" spans="1:5" s="285" customFormat="1" ht="19.5" customHeight="1">
      <c r="A45" s="283" t="s">
        <v>102</v>
      </c>
      <c r="B45" s="283" t="s">
        <v>103</v>
      </c>
      <c r="C45" s="287" t="s">
        <v>246</v>
      </c>
      <c r="D45" s="291">
        <f>D46+D47</f>
        <v>198767603</v>
      </c>
      <c r="E45" s="291">
        <f>E46+E47</f>
        <v>237498851</v>
      </c>
    </row>
    <row r="46" spans="1:5" s="285" customFormat="1" ht="19.5" customHeight="1">
      <c r="A46" s="286" t="s">
        <v>94</v>
      </c>
      <c r="B46" s="286" t="s">
        <v>104</v>
      </c>
      <c r="C46" s="292"/>
      <c r="D46" s="294">
        <f>'[6]CDKT'!$E$48</f>
        <v>367425000</v>
      </c>
      <c r="E46" s="294">
        <v>367425000</v>
      </c>
    </row>
    <row r="47" spans="1:5" s="285" customFormat="1" ht="19.5" customHeight="1">
      <c r="A47" s="286" t="s">
        <v>96</v>
      </c>
      <c r="B47" s="286" t="s">
        <v>105</v>
      </c>
      <c r="C47" s="292"/>
      <c r="D47" s="293">
        <f>'[6]CDKT'!$E$49</f>
        <v>-168657397</v>
      </c>
      <c r="E47" s="293">
        <f>'[2]CDKT'!$E$49</f>
        <v>-129926149</v>
      </c>
    </row>
    <row r="48" spans="1:5" s="285" customFormat="1" ht="19.5" customHeight="1">
      <c r="A48" s="286" t="s">
        <v>106</v>
      </c>
      <c r="B48" s="286" t="s">
        <v>107</v>
      </c>
      <c r="C48" s="287" t="s">
        <v>247</v>
      </c>
      <c r="D48" s="288">
        <f>'[6]CDKT'!$E$51</f>
        <v>42151941158</v>
      </c>
      <c r="E48" s="288">
        <f>'[2]CDKT'!$E$51</f>
        <v>41416179024</v>
      </c>
    </row>
    <row r="49" spans="1:5" s="285" customFormat="1" ht="19.5" customHeight="1">
      <c r="A49" s="283" t="s">
        <v>108</v>
      </c>
      <c r="B49" s="283" t="s">
        <v>109</v>
      </c>
      <c r="C49" s="283"/>
      <c r="D49" s="291">
        <f>D50+D51</f>
        <v>13880228923</v>
      </c>
      <c r="E49" s="291">
        <f>E50+E51</f>
        <v>14098572055</v>
      </c>
    </row>
    <row r="50" spans="1:5" s="285" customFormat="1" ht="19.5" customHeight="1">
      <c r="A50" s="286" t="s">
        <v>94</v>
      </c>
      <c r="B50" s="286" t="s">
        <v>110</v>
      </c>
      <c r="C50" s="286"/>
      <c r="D50" s="288">
        <v>14556209182</v>
      </c>
      <c r="E50" s="288">
        <v>14556209182</v>
      </c>
    </row>
    <row r="51" spans="1:5" s="285" customFormat="1" ht="19.5" customHeight="1">
      <c r="A51" s="286" t="s">
        <v>96</v>
      </c>
      <c r="B51" s="286" t="s">
        <v>111</v>
      </c>
      <c r="C51" s="286"/>
      <c r="D51" s="288">
        <f>'[6]CDKT'!$E$54</f>
        <v>-675980259</v>
      </c>
      <c r="E51" s="288">
        <f>'[2]CDKT'!$E$54</f>
        <v>-457637127</v>
      </c>
    </row>
    <row r="52" spans="1:5" s="285" customFormat="1" ht="19.5" customHeight="1">
      <c r="A52" s="283" t="s">
        <v>112</v>
      </c>
      <c r="B52" s="283" t="s">
        <v>113</v>
      </c>
      <c r="C52" s="283"/>
      <c r="D52" s="284">
        <f>SUM(D53:D56)</f>
        <v>7330000000</v>
      </c>
      <c r="E52" s="284">
        <f>SUM(E53:E56)</f>
        <v>4250000000</v>
      </c>
    </row>
    <row r="53" spans="1:5" s="285" customFormat="1" ht="19.5" customHeight="1">
      <c r="A53" s="286" t="s">
        <v>114</v>
      </c>
      <c r="B53" s="286" t="s">
        <v>115</v>
      </c>
      <c r="C53" s="286"/>
      <c r="D53" s="288">
        <f>'[6]CDKT'!$E$56</f>
        <v>6780000000</v>
      </c>
      <c r="E53" s="288">
        <f>'[2]CDKT'!$E$56</f>
        <v>3700000000</v>
      </c>
    </row>
    <row r="54" spans="1:5" s="285" customFormat="1" ht="19.5" customHeight="1">
      <c r="A54" s="286" t="s">
        <v>116</v>
      </c>
      <c r="B54" s="286" t="s">
        <v>117</v>
      </c>
      <c r="C54" s="286"/>
      <c r="D54" s="286">
        <v>0</v>
      </c>
      <c r="E54" s="286">
        <v>0</v>
      </c>
    </row>
    <row r="55" spans="1:5" s="285" customFormat="1" ht="19.5" customHeight="1">
      <c r="A55" s="286" t="s">
        <v>118</v>
      </c>
      <c r="B55" s="286" t="s">
        <v>119</v>
      </c>
      <c r="C55" s="286"/>
      <c r="D55" s="288">
        <f>'[2]CDKT'!$E$58</f>
        <v>550000000</v>
      </c>
      <c r="E55" s="288">
        <f>'[2]CDKT'!$E$58</f>
        <v>550000000</v>
      </c>
    </row>
    <row r="56" spans="1:5" s="285" customFormat="1" ht="19.5" customHeight="1">
      <c r="A56" s="286" t="s">
        <v>120</v>
      </c>
      <c r="B56" s="286" t="s">
        <v>121</v>
      </c>
      <c r="C56" s="286"/>
      <c r="D56" s="286">
        <v>0</v>
      </c>
      <c r="E56" s="286">
        <v>0</v>
      </c>
    </row>
    <row r="57" spans="1:5" s="285" customFormat="1" ht="19.5" customHeight="1">
      <c r="A57" s="283" t="s">
        <v>122</v>
      </c>
      <c r="B57" s="283" t="s">
        <v>123</v>
      </c>
      <c r="C57" s="283"/>
      <c r="D57" s="284">
        <f>SUM(D58:D60)</f>
        <v>272080594</v>
      </c>
      <c r="E57" s="284">
        <f>SUM(E58:E60)</f>
        <v>594086720</v>
      </c>
    </row>
    <row r="58" spans="1:5" s="285" customFormat="1" ht="19.5" customHeight="1">
      <c r="A58" s="286" t="s">
        <v>124</v>
      </c>
      <c r="B58" s="286" t="s">
        <v>125</v>
      </c>
      <c r="C58" s="286"/>
      <c r="D58" s="288">
        <f>'[6]CDKT'!$E$61</f>
        <v>272080594</v>
      </c>
      <c r="E58" s="288">
        <f>'[2]CDKT'!$E$61</f>
        <v>594086720</v>
      </c>
    </row>
    <row r="59" spans="1:5" s="285" customFormat="1" ht="19.5" customHeight="1">
      <c r="A59" s="286" t="s">
        <v>126</v>
      </c>
      <c r="B59" s="286" t="s">
        <v>127</v>
      </c>
      <c r="C59" s="286"/>
      <c r="D59" s="286">
        <v>0</v>
      </c>
      <c r="E59" s="286">
        <v>0</v>
      </c>
    </row>
    <row r="60" spans="1:5" s="285" customFormat="1" ht="19.5" customHeight="1">
      <c r="A60" s="286" t="s">
        <v>128</v>
      </c>
      <c r="B60" s="286" t="s">
        <v>129</v>
      </c>
      <c r="C60" s="286"/>
      <c r="D60" s="286">
        <v>0</v>
      </c>
      <c r="E60" s="286">
        <v>0</v>
      </c>
    </row>
    <row r="61" spans="1:5" s="296" customFormat="1" ht="19.5" customHeight="1">
      <c r="A61" s="295" t="s">
        <v>130</v>
      </c>
      <c r="B61" s="295" t="s">
        <v>131</v>
      </c>
      <c r="C61" s="295"/>
      <c r="D61" s="295">
        <v>0</v>
      </c>
      <c r="E61" s="295">
        <v>0</v>
      </c>
    </row>
    <row r="62" spans="1:5" s="285" customFormat="1" ht="19.5" customHeight="1">
      <c r="A62" s="283" t="s">
        <v>132</v>
      </c>
      <c r="B62" s="283" t="s">
        <v>133</v>
      </c>
      <c r="C62" s="283"/>
      <c r="D62" s="284">
        <f>D31+D9</f>
        <v>214322478286</v>
      </c>
      <c r="E62" s="284">
        <f>E31+E9</f>
        <v>223355742850</v>
      </c>
    </row>
    <row r="63" spans="1:5" s="285" customFormat="1" ht="19.5" customHeight="1">
      <c r="A63" s="283" t="s">
        <v>134</v>
      </c>
      <c r="B63" s="283"/>
      <c r="C63" s="283"/>
      <c r="D63" s="284"/>
      <c r="E63" s="283">
        <v>0</v>
      </c>
    </row>
    <row r="64" spans="1:5" s="285" customFormat="1" ht="19.5" customHeight="1">
      <c r="A64" s="283" t="s">
        <v>135</v>
      </c>
      <c r="B64" s="283" t="s">
        <v>136</v>
      </c>
      <c r="C64" s="283"/>
      <c r="D64" s="284">
        <f>D65+D77</f>
        <v>73969664150</v>
      </c>
      <c r="E64" s="284">
        <f>E65+E77</f>
        <v>87780651325</v>
      </c>
    </row>
    <row r="65" spans="1:5" s="285" customFormat="1" ht="19.5" customHeight="1">
      <c r="A65" s="283" t="s">
        <v>137</v>
      </c>
      <c r="B65" s="283" t="s">
        <v>138</v>
      </c>
      <c r="C65" s="283"/>
      <c r="D65" s="284">
        <f>SUM(D66:D76)</f>
        <v>70706741954</v>
      </c>
      <c r="E65" s="284">
        <f>SUM(E66:E76)</f>
        <v>84416006279</v>
      </c>
    </row>
    <row r="66" spans="1:5" s="285" customFormat="1" ht="19.5" customHeight="1">
      <c r="A66" s="286" t="s">
        <v>139</v>
      </c>
      <c r="B66" s="286" t="s">
        <v>140</v>
      </c>
      <c r="C66" s="287" t="s">
        <v>248</v>
      </c>
      <c r="D66" s="288">
        <f>'[6]CDKT'!$E$74</f>
        <v>34680209457</v>
      </c>
      <c r="E66" s="288">
        <f>'[2]CDKT'!$E$74</f>
        <v>38907805074</v>
      </c>
    </row>
    <row r="67" spans="1:5" s="285" customFormat="1" ht="19.5" customHeight="1">
      <c r="A67" s="286" t="s">
        <v>141</v>
      </c>
      <c r="B67" s="286" t="s">
        <v>142</v>
      </c>
      <c r="C67" s="287" t="s">
        <v>249</v>
      </c>
      <c r="D67" s="288">
        <f>'[6]CDKT'!$E$75</f>
        <v>10826638517</v>
      </c>
      <c r="E67" s="288">
        <f>'[2]CDKT'!$E$75</f>
        <v>19598907413</v>
      </c>
    </row>
    <row r="68" spans="1:5" s="285" customFormat="1" ht="19.5" customHeight="1">
      <c r="A68" s="286" t="s">
        <v>143</v>
      </c>
      <c r="B68" s="286" t="s">
        <v>144</v>
      </c>
      <c r="C68" s="287" t="s">
        <v>250</v>
      </c>
      <c r="D68" s="288">
        <f>'[6]CDKT'!$E$76</f>
        <v>6157289000</v>
      </c>
      <c r="E68" s="288">
        <f>'[2]CDKT'!$E$76</f>
        <v>1229769273</v>
      </c>
    </row>
    <row r="69" spans="1:5" s="285" customFormat="1" ht="19.5" customHeight="1">
      <c r="A69" s="286" t="s">
        <v>145</v>
      </c>
      <c r="B69" s="286" t="s">
        <v>146</v>
      </c>
      <c r="C69" s="287" t="s">
        <v>251</v>
      </c>
      <c r="D69" s="288">
        <f>'[6]CDKT'!$E$77</f>
        <v>5607310218</v>
      </c>
      <c r="E69" s="288">
        <v>2963576981</v>
      </c>
    </row>
    <row r="70" spans="1:5" s="285" customFormat="1" ht="19.5" customHeight="1">
      <c r="A70" s="286" t="s">
        <v>147</v>
      </c>
      <c r="B70" s="286" t="s">
        <v>148</v>
      </c>
      <c r="C70" s="287" t="s">
        <v>252</v>
      </c>
      <c r="D70" s="288">
        <f>'[6]CDKT'!$E$78</f>
        <v>2040585031</v>
      </c>
      <c r="E70" s="288">
        <v>7196282311</v>
      </c>
    </row>
    <row r="71" spans="1:5" s="285" customFormat="1" ht="19.5" customHeight="1">
      <c r="A71" s="286" t="s">
        <v>149</v>
      </c>
      <c r="B71" s="286" t="s">
        <v>150</v>
      </c>
      <c r="C71" s="287" t="s">
        <v>253</v>
      </c>
      <c r="D71" s="288">
        <f>'[6]CDKT'!$E$79</f>
        <v>6915006995</v>
      </c>
      <c r="E71" s="288">
        <v>9365365635</v>
      </c>
    </row>
    <row r="72" spans="1:6" s="285" customFormat="1" ht="19.5" customHeight="1">
      <c r="A72" s="286" t="s">
        <v>151</v>
      </c>
      <c r="B72" s="286" t="s">
        <v>152</v>
      </c>
      <c r="C72" s="287"/>
      <c r="D72" s="288"/>
      <c r="E72" s="288"/>
      <c r="F72" s="290"/>
    </row>
    <row r="73" spans="1:5" s="285" customFormat="1" ht="19.5" customHeight="1">
      <c r="A73" s="286" t="s">
        <v>153</v>
      </c>
      <c r="B73" s="286" t="s">
        <v>154</v>
      </c>
      <c r="C73" s="287"/>
      <c r="D73" s="288">
        <v>0</v>
      </c>
      <c r="E73" s="288">
        <v>0</v>
      </c>
    </row>
    <row r="74" spans="1:5" s="285" customFormat="1" ht="19.5" customHeight="1">
      <c r="A74" s="286" t="s">
        <v>155</v>
      </c>
      <c r="B74" s="286" t="s">
        <v>156</v>
      </c>
      <c r="C74" s="287" t="s">
        <v>254</v>
      </c>
      <c r="D74" s="288">
        <f>'[6]CDKT'!$E$82</f>
        <v>3434417716</v>
      </c>
      <c r="E74" s="288">
        <v>2837002477</v>
      </c>
    </row>
    <row r="75" spans="1:5" s="285" customFormat="1" ht="19.5" customHeight="1">
      <c r="A75" s="286" t="s">
        <v>157</v>
      </c>
      <c r="B75" s="286" t="s">
        <v>158</v>
      </c>
      <c r="C75" s="287"/>
      <c r="D75" s="288">
        <f>'[6]CDKT'!$E$83</f>
        <v>900804954</v>
      </c>
      <c r="E75" s="288">
        <v>900804954</v>
      </c>
    </row>
    <row r="76" spans="1:5" s="285" customFormat="1" ht="19.5" customHeight="1">
      <c r="A76" s="286" t="s">
        <v>159</v>
      </c>
      <c r="B76" s="286" t="s">
        <v>160</v>
      </c>
      <c r="C76" s="287"/>
      <c r="D76" s="288">
        <f>'[6]CDKT'!$E$84</f>
        <v>144480066</v>
      </c>
      <c r="E76" s="288">
        <f>'[2]CDKT'!$E$84</f>
        <v>1416492161</v>
      </c>
    </row>
    <row r="77" spans="1:5" s="285" customFormat="1" ht="19.5" customHeight="1">
      <c r="A77" s="283" t="s">
        <v>161</v>
      </c>
      <c r="B77" s="283" t="s">
        <v>162</v>
      </c>
      <c r="C77" s="283"/>
      <c r="D77" s="291">
        <f>SUM(D78:D86)</f>
        <v>3262922196</v>
      </c>
      <c r="E77" s="291">
        <f>SUM(E78:E86)</f>
        <v>3364645046</v>
      </c>
    </row>
    <row r="78" spans="1:5" s="285" customFormat="1" ht="19.5" customHeight="1">
      <c r="A78" s="286" t="s">
        <v>163</v>
      </c>
      <c r="B78" s="286" t="s">
        <v>164</v>
      </c>
      <c r="C78" s="287" t="s">
        <v>255</v>
      </c>
      <c r="D78" s="286">
        <v>0</v>
      </c>
      <c r="E78" s="286">
        <v>0</v>
      </c>
    </row>
    <row r="79" spans="1:5" s="285" customFormat="1" ht="19.5" customHeight="1">
      <c r="A79" s="286" t="s">
        <v>165</v>
      </c>
      <c r="B79" s="286" t="s">
        <v>166</v>
      </c>
      <c r="C79" s="287" t="s">
        <v>256</v>
      </c>
      <c r="D79" s="286">
        <v>0</v>
      </c>
      <c r="E79" s="286">
        <v>0</v>
      </c>
    </row>
    <row r="80" spans="1:5" s="285" customFormat="1" ht="19.5" customHeight="1">
      <c r="A80" s="286" t="s">
        <v>167</v>
      </c>
      <c r="B80" s="286" t="s">
        <v>168</v>
      </c>
      <c r="C80" s="287" t="s">
        <v>257</v>
      </c>
      <c r="D80" s="288"/>
      <c r="E80" s="288"/>
    </row>
    <row r="81" spans="1:5" s="285" customFormat="1" ht="19.5" customHeight="1">
      <c r="A81" s="286" t="s">
        <v>169</v>
      </c>
      <c r="B81" s="286" t="s">
        <v>170</v>
      </c>
      <c r="C81" s="287" t="s">
        <v>258</v>
      </c>
      <c r="D81" s="288">
        <f>'[6]CDKT'!$E$89</f>
        <v>2920553530</v>
      </c>
      <c r="E81" s="288">
        <f>'[2]CDKT'!$E$89</f>
        <v>3010553530</v>
      </c>
    </row>
    <row r="82" spans="1:5" s="285" customFormat="1" ht="19.5" customHeight="1">
      <c r="A82" s="286" t="s">
        <v>171</v>
      </c>
      <c r="B82" s="286" t="s">
        <v>172</v>
      </c>
      <c r="C82" s="287"/>
      <c r="D82" s="288"/>
      <c r="E82" s="288"/>
    </row>
    <row r="83" spans="1:5" s="285" customFormat="1" ht="19.5" customHeight="1">
      <c r="A83" s="286" t="s">
        <v>173</v>
      </c>
      <c r="B83" s="286" t="s">
        <v>174</v>
      </c>
      <c r="C83" s="287"/>
      <c r="D83" s="288">
        <f>'[6]CDKT'!$E$91</f>
        <v>342368666</v>
      </c>
      <c r="E83" s="288">
        <v>354091516</v>
      </c>
    </row>
    <row r="84" spans="1:5" s="285" customFormat="1" ht="19.5" customHeight="1">
      <c r="A84" s="286" t="s">
        <v>175</v>
      </c>
      <c r="B84" s="286" t="s">
        <v>176</v>
      </c>
      <c r="C84" s="287"/>
      <c r="D84" s="288"/>
      <c r="E84" s="288"/>
    </row>
    <row r="85" spans="1:5" s="285" customFormat="1" ht="19.5" customHeight="1">
      <c r="A85" s="286" t="s">
        <v>177</v>
      </c>
      <c r="B85" s="286" t="s">
        <v>178</v>
      </c>
      <c r="C85" s="286"/>
      <c r="D85" s="286">
        <v>0</v>
      </c>
      <c r="E85" s="286">
        <v>0</v>
      </c>
    </row>
    <row r="86" spans="1:5" s="285" customFormat="1" ht="19.5" customHeight="1">
      <c r="A86" s="286" t="s">
        <v>179</v>
      </c>
      <c r="B86" s="286" t="s">
        <v>180</v>
      </c>
      <c r="C86" s="286"/>
      <c r="D86" s="286">
        <v>0</v>
      </c>
      <c r="E86" s="286">
        <v>0</v>
      </c>
    </row>
    <row r="87" spans="1:5" s="285" customFormat="1" ht="19.5" customHeight="1">
      <c r="A87" s="283" t="s">
        <v>181</v>
      </c>
      <c r="B87" s="283" t="s">
        <v>182</v>
      </c>
      <c r="C87" s="283"/>
      <c r="D87" s="284">
        <f>D88+D101</f>
        <v>140352814136</v>
      </c>
      <c r="E87" s="284">
        <f>E88+E101</f>
        <v>135575091525</v>
      </c>
    </row>
    <row r="88" spans="1:5" s="285" customFormat="1" ht="19.5" customHeight="1">
      <c r="A88" s="283" t="s">
        <v>183</v>
      </c>
      <c r="B88" s="283" t="s">
        <v>184</v>
      </c>
      <c r="C88" s="289" t="s">
        <v>259</v>
      </c>
      <c r="D88" s="291">
        <f>SUM(D89:D99)</f>
        <v>140352814136</v>
      </c>
      <c r="E88" s="291">
        <f>SUM(E89:E99)</f>
        <v>135575091525</v>
      </c>
    </row>
    <row r="89" spans="1:5" s="285" customFormat="1" ht="19.5" customHeight="1">
      <c r="A89" s="286" t="s">
        <v>185</v>
      </c>
      <c r="B89" s="286" t="s">
        <v>186</v>
      </c>
      <c r="C89" s="287"/>
      <c r="D89" s="288">
        <f>'[6]CDKT'!$E$96</f>
        <v>124969290000</v>
      </c>
      <c r="E89" s="288">
        <v>99989600000</v>
      </c>
    </row>
    <row r="90" spans="1:5" s="285" customFormat="1" ht="19.5" customHeight="1">
      <c r="A90" s="286" t="s">
        <v>187</v>
      </c>
      <c r="B90" s="286" t="s">
        <v>188</v>
      </c>
      <c r="C90" s="287"/>
      <c r="D90" s="288">
        <v>982166000</v>
      </c>
      <c r="E90" s="288">
        <v>982166000</v>
      </c>
    </row>
    <row r="91" spans="1:5" s="285" customFormat="1" ht="19.5" customHeight="1">
      <c r="A91" s="286" t="s">
        <v>189</v>
      </c>
      <c r="B91" s="286" t="s">
        <v>190</v>
      </c>
      <c r="C91" s="287"/>
      <c r="D91" s="288"/>
      <c r="E91" s="288"/>
    </row>
    <row r="92" spans="1:5" s="285" customFormat="1" ht="19.5" customHeight="1">
      <c r="A92" s="286" t="s">
        <v>191</v>
      </c>
      <c r="B92" s="286" t="s">
        <v>192</v>
      </c>
      <c r="C92" s="287"/>
      <c r="D92" s="288"/>
      <c r="E92" s="288"/>
    </row>
    <row r="93" spans="1:5" s="285" customFormat="1" ht="19.5" customHeight="1">
      <c r="A93" s="286" t="s">
        <v>193</v>
      </c>
      <c r="B93" s="286" t="s">
        <v>194</v>
      </c>
      <c r="C93" s="287"/>
      <c r="D93" s="288"/>
      <c r="E93" s="288"/>
    </row>
    <row r="94" spans="1:5" s="285" customFormat="1" ht="19.5" customHeight="1">
      <c r="A94" s="286" t="s">
        <v>195</v>
      </c>
      <c r="B94" s="286" t="s">
        <v>196</v>
      </c>
      <c r="C94" s="287"/>
      <c r="D94" s="288"/>
      <c r="E94" s="288"/>
    </row>
    <row r="95" spans="1:5" s="285" customFormat="1" ht="19.5" customHeight="1">
      <c r="A95" s="286" t="s">
        <v>197</v>
      </c>
      <c r="B95" s="286" t="s">
        <v>198</v>
      </c>
      <c r="C95" s="287"/>
      <c r="D95" s="288">
        <f>'[6]CDKT'!$E$101</f>
        <v>5169176926</v>
      </c>
      <c r="E95" s="288">
        <f>'[2]CDKT'!$E$101</f>
        <v>15159711426</v>
      </c>
    </row>
    <row r="96" spans="1:5" s="285" customFormat="1" ht="19.5" customHeight="1">
      <c r="A96" s="286" t="s">
        <v>199</v>
      </c>
      <c r="B96" s="286" t="s">
        <v>200</v>
      </c>
      <c r="C96" s="287"/>
      <c r="D96" s="288">
        <f>'[6]CDKT'!$E$103</f>
        <v>3296250989</v>
      </c>
      <c r="E96" s="288">
        <f>'[2]CDKT'!$E$103</f>
        <v>3296250989</v>
      </c>
    </row>
    <row r="97" spans="1:5" s="285" customFormat="1" ht="19.5" customHeight="1">
      <c r="A97" s="286" t="s">
        <v>201</v>
      </c>
      <c r="B97" s="286" t="s">
        <v>202</v>
      </c>
      <c r="C97" s="287"/>
      <c r="D97" s="288"/>
      <c r="E97" s="288"/>
    </row>
    <row r="98" spans="1:5" s="285" customFormat="1" ht="19.5" customHeight="1">
      <c r="A98" s="286" t="s">
        <v>203</v>
      </c>
      <c r="B98" s="286" t="s">
        <v>204</v>
      </c>
      <c r="C98" s="287"/>
      <c r="D98" s="288">
        <f>'[6]CDKT'!$E$105</f>
        <v>5935930221</v>
      </c>
      <c r="E98" s="288">
        <v>16147363110</v>
      </c>
    </row>
    <row r="99" spans="1:5" s="285" customFormat="1" ht="19.5" customHeight="1">
      <c r="A99" s="286" t="s">
        <v>205</v>
      </c>
      <c r="B99" s="286" t="s">
        <v>206</v>
      </c>
      <c r="C99" s="286"/>
      <c r="D99" s="286">
        <v>0</v>
      </c>
      <c r="E99" s="286">
        <v>0</v>
      </c>
    </row>
    <row r="100" spans="1:5" s="285" customFormat="1" ht="19.5" customHeight="1">
      <c r="A100" s="286" t="s">
        <v>207</v>
      </c>
      <c r="B100" s="286" t="s">
        <v>208</v>
      </c>
      <c r="C100" s="286"/>
      <c r="D100" s="286">
        <v>0</v>
      </c>
      <c r="E100" s="286">
        <v>0</v>
      </c>
    </row>
    <row r="101" spans="1:5" s="285" customFormat="1" ht="19.5" customHeight="1">
      <c r="A101" s="283" t="s">
        <v>209</v>
      </c>
      <c r="B101" s="283" t="s">
        <v>210</v>
      </c>
      <c r="C101" s="283"/>
      <c r="D101" s="283">
        <v>0</v>
      </c>
      <c r="E101" s="283">
        <v>0</v>
      </c>
    </row>
    <row r="102" spans="1:5" s="285" customFormat="1" ht="19.5" customHeight="1">
      <c r="A102" s="286" t="s">
        <v>211</v>
      </c>
      <c r="B102" s="286" t="s">
        <v>212</v>
      </c>
      <c r="C102" s="286"/>
      <c r="D102" s="286">
        <v>0</v>
      </c>
      <c r="E102" s="286">
        <v>0</v>
      </c>
    </row>
    <row r="103" spans="1:5" s="285" customFormat="1" ht="19.5" customHeight="1">
      <c r="A103" s="286" t="s">
        <v>213</v>
      </c>
      <c r="B103" s="286" t="s">
        <v>214</v>
      </c>
      <c r="C103" s="286"/>
      <c r="D103" s="286">
        <v>0</v>
      </c>
      <c r="E103" s="286">
        <v>0</v>
      </c>
    </row>
    <row r="104" spans="1:5" s="296" customFormat="1" ht="19.5" customHeight="1">
      <c r="A104" s="295" t="s">
        <v>215</v>
      </c>
      <c r="B104" s="295" t="s">
        <v>216</v>
      </c>
      <c r="C104" s="295"/>
      <c r="D104" s="295">
        <v>0</v>
      </c>
      <c r="E104" s="295">
        <v>0</v>
      </c>
    </row>
    <row r="105" spans="1:6" s="285" customFormat="1" ht="19.5" customHeight="1">
      <c r="A105" s="283" t="s">
        <v>217</v>
      </c>
      <c r="B105" s="283" t="s">
        <v>218</v>
      </c>
      <c r="C105" s="283"/>
      <c r="D105" s="284">
        <f>D87+D64</f>
        <v>214322478286</v>
      </c>
      <c r="E105" s="284">
        <f>E87+E64</f>
        <v>223355742850</v>
      </c>
      <c r="F105" s="290">
        <f>D105-D62</f>
        <v>0</v>
      </c>
    </row>
    <row r="106" spans="1:5" s="285" customFormat="1" ht="19.5" customHeight="1">
      <c r="A106" s="283" t="s">
        <v>219</v>
      </c>
      <c r="B106" s="283"/>
      <c r="C106" s="283"/>
      <c r="D106" s="284"/>
      <c r="E106" s="283">
        <v>0</v>
      </c>
    </row>
    <row r="107" spans="1:5" s="285" customFormat="1" ht="19.5" customHeight="1">
      <c r="A107" s="286" t="s">
        <v>220</v>
      </c>
      <c r="B107" s="286" t="s">
        <v>221</v>
      </c>
      <c r="C107" s="286"/>
      <c r="D107" s="286">
        <v>0</v>
      </c>
      <c r="E107" s="286">
        <v>0</v>
      </c>
    </row>
    <row r="108" spans="1:5" s="285" customFormat="1" ht="19.5" customHeight="1">
      <c r="A108" s="286" t="s">
        <v>222</v>
      </c>
      <c r="B108" s="286" t="s">
        <v>223</v>
      </c>
      <c r="C108" s="286"/>
      <c r="D108" s="286">
        <v>0</v>
      </c>
      <c r="E108" s="286">
        <v>0</v>
      </c>
    </row>
    <row r="109" spans="1:5" s="285" customFormat="1" ht="19.5" customHeight="1">
      <c r="A109" s="286" t="s">
        <v>224</v>
      </c>
      <c r="B109" s="286" t="s">
        <v>225</v>
      </c>
      <c r="C109" s="286"/>
      <c r="D109" s="286">
        <v>0</v>
      </c>
      <c r="E109" s="286">
        <v>0</v>
      </c>
    </row>
    <row r="110" spans="1:5" s="285" customFormat="1" ht="19.5" customHeight="1">
      <c r="A110" s="286" t="s">
        <v>226</v>
      </c>
      <c r="B110" s="286" t="s">
        <v>227</v>
      </c>
      <c r="C110" s="286"/>
      <c r="D110" s="286">
        <v>0</v>
      </c>
      <c r="E110" s="286">
        <v>0</v>
      </c>
    </row>
    <row r="111" spans="1:5" s="285" customFormat="1" ht="19.5" customHeight="1">
      <c r="A111" s="286" t="s">
        <v>228</v>
      </c>
      <c r="B111" s="286" t="s">
        <v>229</v>
      </c>
      <c r="C111" s="286"/>
      <c r="D111" s="286">
        <v>0</v>
      </c>
      <c r="E111" s="286">
        <v>0</v>
      </c>
    </row>
    <row r="112" spans="1:5" s="285" customFormat="1" ht="19.5" customHeight="1">
      <c r="A112" s="286" t="s">
        <v>230</v>
      </c>
      <c r="B112" s="286" t="s">
        <v>231</v>
      </c>
      <c r="C112" s="286"/>
      <c r="D112" s="286">
        <v>0</v>
      </c>
      <c r="E112" s="286">
        <v>0</v>
      </c>
    </row>
    <row r="113" spans="4:5" ht="15">
      <c r="D113" s="339" t="s">
        <v>604</v>
      </c>
      <c r="E113" s="339"/>
    </row>
    <row r="114" spans="1:5" ht="15">
      <c r="A114" s="3" t="s">
        <v>260</v>
      </c>
      <c r="B114" s="8" t="s">
        <v>262</v>
      </c>
      <c r="D114" s="337" t="s">
        <v>264</v>
      </c>
      <c r="E114" s="337"/>
    </row>
    <row r="115" spans="1:5" ht="14.25">
      <c r="A115" s="6"/>
      <c r="B115" s="9"/>
      <c r="D115" s="2"/>
      <c r="E115" s="2"/>
    </row>
    <row r="116" spans="1:5" ht="14.25">
      <c r="A116" s="6"/>
      <c r="B116" s="9"/>
      <c r="D116" s="2"/>
      <c r="E116" s="2"/>
    </row>
    <row r="117" spans="1:5" ht="14.25">
      <c r="A117" s="6"/>
      <c r="B117" s="9"/>
      <c r="D117" s="2"/>
      <c r="E117" s="2"/>
    </row>
    <row r="118" spans="1:5" ht="16.5">
      <c r="A118" s="6"/>
      <c r="B118" s="10"/>
      <c r="D118" s="2"/>
      <c r="E118" s="2"/>
    </row>
    <row r="119" spans="1:5" ht="14.25">
      <c r="A119" s="7" t="s">
        <v>261</v>
      </c>
      <c r="B119" s="11" t="s">
        <v>263</v>
      </c>
      <c r="D119" s="338" t="s">
        <v>265</v>
      </c>
      <c r="E119" s="338"/>
    </row>
  </sheetData>
  <mergeCells count="10">
    <mergeCell ref="A4:E4"/>
    <mergeCell ref="A1:B1"/>
    <mergeCell ref="A2:B2"/>
    <mergeCell ref="A3:B3"/>
    <mergeCell ref="C1:E1"/>
    <mergeCell ref="C2:E2"/>
    <mergeCell ref="D114:E114"/>
    <mergeCell ref="D119:E119"/>
    <mergeCell ref="D113:E113"/>
    <mergeCell ref="A5:E5"/>
  </mergeCells>
  <printOptions/>
  <pageMargins left="0.65" right="0.3" top="0.25" bottom="0.29" header="0.2" footer="0.2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6" sqref="A6"/>
    </sheetView>
  </sheetViews>
  <sheetFormatPr defaultColWidth="9.140625" defaultRowHeight="18.75" customHeight="1"/>
  <cols>
    <col min="1" max="1" width="49.28125" style="1" customWidth="1"/>
    <col min="2" max="2" width="7.7109375" style="1" customWidth="1"/>
    <col min="3" max="3" width="9.00390625" style="1" customWidth="1"/>
    <col min="4" max="4" width="15.57421875" style="1" customWidth="1"/>
    <col min="5" max="5" width="14.57421875" style="1" customWidth="1"/>
    <col min="6" max="6" width="9.140625" style="1" customWidth="1"/>
    <col min="7" max="7" width="12.7109375" style="1" customWidth="1"/>
    <col min="8" max="16384" width="9.140625" style="1" customWidth="1"/>
  </cols>
  <sheetData>
    <row r="1" spans="1:5" ht="18.75" customHeight="1">
      <c r="A1" s="342" t="s">
        <v>232</v>
      </c>
      <c r="B1" s="343"/>
      <c r="D1" s="341" t="s">
        <v>25</v>
      </c>
      <c r="E1" s="341"/>
    </row>
    <row r="2" spans="1:5" ht="18.75" customHeight="1">
      <c r="A2" s="343" t="s">
        <v>233</v>
      </c>
      <c r="B2" s="343"/>
      <c r="D2" s="341" t="s">
        <v>593</v>
      </c>
      <c r="E2" s="341"/>
    </row>
    <row r="3" spans="1:3" ht="18.75" customHeight="1">
      <c r="A3" s="343" t="s">
        <v>234</v>
      </c>
      <c r="B3" s="343"/>
      <c r="C3" s="12"/>
    </row>
    <row r="4" spans="1:5" ht="18.75" customHeight="1">
      <c r="A4" s="341" t="s">
        <v>269</v>
      </c>
      <c r="B4" s="341"/>
      <c r="C4" s="341"/>
      <c r="D4" s="341"/>
      <c r="E4" s="341"/>
    </row>
    <row r="5" spans="1:5" ht="18.75" customHeight="1">
      <c r="A5" s="340" t="s">
        <v>605</v>
      </c>
      <c r="B5" s="340"/>
      <c r="C5" s="340"/>
      <c r="D5" s="340"/>
      <c r="E5" s="340"/>
    </row>
    <row r="6" spans="5:7" ht="18.75" customHeight="1">
      <c r="E6" s="14" t="s">
        <v>266</v>
      </c>
      <c r="G6" s="334"/>
    </row>
    <row r="7" spans="1:5" s="5" customFormat="1" ht="30" customHeight="1">
      <c r="A7" s="4" t="s">
        <v>26</v>
      </c>
      <c r="B7" s="4" t="s">
        <v>27</v>
      </c>
      <c r="C7" s="4" t="s">
        <v>28</v>
      </c>
      <c r="D7" s="4" t="s">
        <v>595</v>
      </c>
      <c r="E7" s="4" t="s">
        <v>594</v>
      </c>
    </row>
    <row r="8" spans="1:5" ht="18.75" customHeight="1">
      <c r="A8" s="15" t="s">
        <v>270</v>
      </c>
      <c r="B8" s="15" t="s">
        <v>221</v>
      </c>
      <c r="C8" s="16" t="s">
        <v>271</v>
      </c>
      <c r="D8" s="17">
        <f>'[6]KQKD(Dung)'!$I$13</f>
        <v>86856741226</v>
      </c>
      <c r="E8" s="17">
        <v>76763399938</v>
      </c>
    </row>
    <row r="9" spans="1:5" ht="18.75" customHeight="1">
      <c r="A9" s="15" t="s">
        <v>272</v>
      </c>
      <c r="B9" s="15" t="s">
        <v>223</v>
      </c>
      <c r="C9" s="18" t="s">
        <v>273</v>
      </c>
      <c r="D9" s="19">
        <f>'[6]KQKD(Dung)'!$I$14</f>
        <v>893770874</v>
      </c>
      <c r="E9" s="19">
        <v>2172066559</v>
      </c>
    </row>
    <row r="10" spans="1:5" ht="30.75" customHeight="1">
      <c r="A10" s="321" t="s">
        <v>274</v>
      </c>
      <c r="B10" s="22" t="s">
        <v>275</v>
      </c>
      <c r="C10" s="16" t="s">
        <v>273</v>
      </c>
      <c r="D10" s="17">
        <f>+D8-D9</f>
        <v>85962970352</v>
      </c>
      <c r="E10" s="17">
        <f>+E8-E9</f>
        <v>74591333379</v>
      </c>
    </row>
    <row r="11" spans="1:5" ht="18.75" customHeight="1">
      <c r="A11" s="15" t="s">
        <v>276</v>
      </c>
      <c r="B11" s="15" t="s">
        <v>277</v>
      </c>
      <c r="C11" s="18" t="s">
        <v>278</v>
      </c>
      <c r="D11" s="19">
        <f>'[6]KQKD(Dung)'!$I$17</f>
        <v>65497234299</v>
      </c>
      <c r="E11" s="19">
        <v>55877488842</v>
      </c>
    </row>
    <row r="12" spans="1:5" ht="28.5" customHeight="1">
      <c r="A12" s="321" t="s">
        <v>279</v>
      </c>
      <c r="B12" s="22" t="s">
        <v>280</v>
      </c>
      <c r="C12" s="16"/>
      <c r="D12" s="17">
        <f>+D10-D11</f>
        <v>20465736053</v>
      </c>
      <c r="E12" s="17">
        <f>+E10-E11</f>
        <v>18713844537</v>
      </c>
    </row>
    <row r="13" spans="1:5" ht="18.75" customHeight="1">
      <c r="A13" s="15" t="s">
        <v>281</v>
      </c>
      <c r="B13" s="15" t="s">
        <v>282</v>
      </c>
      <c r="C13" s="18" t="s">
        <v>283</v>
      </c>
      <c r="D13" s="19">
        <f>'[6]KQKD(Dung)'!$I$20</f>
        <v>1880789699</v>
      </c>
      <c r="E13" s="19">
        <v>404499288</v>
      </c>
    </row>
    <row r="14" spans="1:5" ht="18.75" customHeight="1">
      <c r="A14" s="15" t="s">
        <v>284</v>
      </c>
      <c r="B14" s="15" t="s">
        <v>285</v>
      </c>
      <c r="C14" s="18" t="s">
        <v>286</v>
      </c>
      <c r="D14" s="19">
        <f>'[6]KQKD(Dung)'!$I$21</f>
        <v>6704551344</v>
      </c>
      <c r="E14" s="19">
        <v>13093719046</v>
      </c>
    </row>
    <row r="15" spans="1:5" s="327" customFormat="1" ht="18.75" customHeight="1">
      <c r="A15" s="326" t="s">
        <v>287</v>
      </c>
      <c r="B15" s="326" t="s">
        <v>288</v>
      </c>
      <c r="C15" s="23"/>
      <c r="D15" s="322">
        <f>'[6]KQKD(Dung)'!$I$22</f>
        <v>5410946344</v>
      </c>
      <c r="E15" s="322">
        <v>5791160244</v>
      </c>
    </row>
    <row r="16" spans="1:5" ht="18.75" customHeight="1">
      <c r="A16" s="15" t="s">
        <v>289</v>
      </c>
      <c r="B16" s="15" t="s">
        <v>290</v>
      </c>
      <c r="C16" s="18"/>
      <c r="D16" s="19"/>
      <c r="E16" s="19"/>
    </row>
    <row r="17" spans="1:5" ht="18.75" customHeight="1">
      <c r="A17" s="15" t="s">
        <v>291</v>
      </c>
      <c r="B17" s="15" t="s">
        <v>292</v>
      </c>
      <c r="C17" s="18" t="s">
        <v>293</v>
      </c>
      <c r="D17" s="19">
        <f>'[6]KQKD(Dung)'!$I$24</f>
        <v>9460037744</v>
      </c>
      <c r="E17" s="19">
        <v>7802576461</v>
      </c>
    </row>
    <row r="18" spans="1:5" ht="32.25" customHeight="1">
      <c r="A18" s="321" t="s">
        <v>294</v>
      </c>
      <c r="B18" s="22" t="s">
        <v>295</v>
      </c>
      <c r="C18" s="16"/>
      <c r="D18" s="17">
        <f>+D12+D13-D14-D16-D17</f>
        <v>6181936664</v>
      </c>
      <c r="E18" s="17">
        <f>+E12+E13-E14-E16-E17</f>
        <v>-1777951682</v>
      </c>
    </row>
    <row r="19" spans="1:5" ht="18.75" customHeight="1">
      <c r="A19" s="15" t="s">
        <v>296</v>
      </c>
      <c r="B19" s="15" t="s">
        <v>297</v>
      </c>
      <c r="C19" s="18" t="s">
        <v>298</v>
      </c>
      <c r="D19" s="19">
        <f>'[6]KQKD(Dung)'!$I$27</f>
        <v>324809091</v>
      </c>
      <c r="E19" s="19">
        <f>kqkd!G19</f>
        <v>3008706002</v>
      </c>
    </row>
    <row r="20" spans="1:5" ht="18.75" customHeight="1">
      <c r="A20" s="15" t="s">
        <v>299</v>
      </c>
      <c r="B20" s="15" t="s">
        <v>300</v>
      </c>
      <c r="C20" s="18" t="s">
        <v>301</v>
      </c>
      <c r="D20" s="19">
        <f>'[6]KQKD(Dung)'!$I$28</f>
        <v>21312675</v>
      </c>
      <c r="E20" s="19">
        <v>6595352</v>
      </c>
    </row>
    <row r="21" spans="1:5" ht="18.75" customHeight="1">
      <c r="A21" s="22" t="s">
        <v>302</v>
      </c>
      <c r="B21" s="22" t="s">
        <v>303</v>
      </c>
      <c r="C21" s="16"/>
      <c r="D21" s="17">
        <f>D19-D20</f>
        <v>303496416</v>
      </c>
      <c r="E21" s="17">
        <f>E19-E20</f>
        <v>3002110650</v>
      </c>
    </row>
    <row r="22" spans="1:5" ht="18.75" customHeight="1">
      <c r="A22" s="15" t="s">
        <v>304</v>
      </c>
      <c r="B22" s="15" t="s">
        <v>305</v>
      </c>
      <c r="C22" s="16"/>
      <c r="D22" s="17"/>
      <c r="E22" s="17"/>
    </row>
    <row r="23" spans="1:5" ht="19.5" customHeight="1">
      <c r="A23" s="22" t="s">
        <v>306</v>
      </c>
      <c r="B23" s="22" t="s">
        <v>307</v>
      </c>
      <c r="C23" s="18" t="s">
        <v>308</v>
      </c>
      <c r="D23" s="17">
        <f>+D18+D21</f>
        <v>6485433080</v>
      </c>
      <c r="E23" s="17">
        <f>+E18+E21</f>
        <v>1224158968</v>
      </c>
    </row>
    <row r="24" spans="1:5" ht="18.75" customHeight="1">
      <c r="A24" s="15" t="s">
        <v>309</v>
      </c>
      <c r="B24" s="15" t="s">
        <v>310</v>
      </c>
      <c r="C24" s="18"/>
      <c r="D24" s="19">
        <f>'[6]KQKD(Dung)'!$I$32</f>
        <v>1621358270</v>
      </c>
      <c r="E24" s="19">
        <v>306039742</v>
      </c>
    </row>
    <row r="25" spans="1:5" ht="18.75" customHeight="1">
      <c r="A25" s="15" t="s">
        <v>311</v>
      </c>
      <c r="B25" s="15" t="s">
        <v>312</v>
      </c>
      <c r="C25" s="16"/>
      <c r="D25" s="19"/>
      <c r="E25" s="19"/>
    </row>
    <row r="26" spans="1:5" ht="22.5" customHeight="1">
      <c r="A26" s="321" t="s">
        <v>313</v>
      </c>
      <c r="B26" s="22" t="s">
        <v>314</v>
      </c>
      <c r="C26" s="18"/>
      <c r="D26" s="17">
        <f>+D23-D24</f>
        <v>4864074810</v>
      </c>
      <c r="E26" s="17">
        <f>+E23-E24-E25</f>
        <v>918119226</v>
      </c>
    </row>
    <row r="27" spans="1:5" ht="18.75" customHeight="1">
      <c r="A27" s="15" t="s">
        <v>315</v>
      </c>
      <c r="B27" s="15" t="s">
        <v>316</v>
      </c>
      <c r="C27" s="18"/>
      <c r="D27" s="28"/>
      <c r="E27" s="28"/>
    </row>
    <row r="28" spans="1:5" ht="18.75" customHeight="1">
      <c r="A28" s="15" t="s">
        <v>317</v>
      </c>
      <c r="B28" s="15" t="s">
        <v>318</v>
      </c>
      <c r="C28" s="16"/>
      <c r="D28" s="28"/>
      <c r="E28" s="28"/>
    </row>
    <row r="29" spans="1:5" ht="18.75" customHeight="1">
      <c r="A29" s="15" t="s">
        <v>319</v>
      </c>
      <c r="B29" s="15" t="s">
        <v>320</v>
      </c>
      <c r="C29" s="15"/>
      <c r="D29" s="29">
        <f>D26/(((9998960000*7)+(12496929000*2))/9)</f>
        <v>0.460872201228262</v>
      </c>
      <c r="E29" s="29">
        <v>0.011</v>
      </c>
    </row>
    <row r="31" spans="4:5" ht="18.75" customHeight="1">
      <c r="D31" s="348" t="s">
        <v>596</v>
      </c>
      <c r="E31" s="348"/>
    </row>
    <row r="32" spans="1:5" ht="18.75" customHeight="1">
      <c r="A32" s="24" t="s">
        <v>260</v>
      </c>
      <c r="B32" s="344" t="s">
        <v>262</v>
      </c>
      <c r="C32" s="344"/>
      <c r="D32" s="345" t="s">
        <v>321</v>
      </c>
      <c r="E32" s="345"/>
    </row>
    <row r="36" ht="18.75" customHeight="1">
      <c r="D36" s="328"/>
    </row>
    <row r="38" spans="1:5" ht="18.75" customHeight="1">
      <c r="A38" s="26" t="s">
        <v>261</v>
      </c>
      <c r="B38" s="346" t="s">
        <v>263</v>
      </c>
      <c r="C38" s="346"/>
      <c r="D38" s="347" t="s">
        <v>322</v>
      </c>
      <c r="E38" s="347"/>
    </row>
  </sheetData>
  <mergeCells count="12">
    <mergeCell ref="A1:B1"/>
    <mergeCell ref="D1:E1"/>
    <mergeCell ref="A2:B2"/>
    <mergeCell ref="D2:E2"/>
    <mergeCell ref="A3:B3"/>
    <mergeCell ref="A4:E4"/>
    <mergeCell ref="A5:E5"/>
    <mergeCell ref="D31:E31"/>
    <mergeCell ref="B32:C32"/>
    <mergeCell ref="D32:E32"/>
    <mergeCell ref="B38:C38"/>
    <mergeCell ref="D38:E38"/>
  </mergeCells>
  <printOptions/>
  <pageMargins left="0.34" right="0.33" top="0.42" bottom="0.4" header="0.25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9">
      <selection activeCell="F29" sqref="F29"/>
    </sheetView>
  </sheetViews>
  <sheetFormatPr defaultColWidth="9.140625" defaultRowHeight="15" customHeight="1"/>
  <cols>
    <col min="1" max="1" width="50.00390625" style="1" customWidth="1"/>
    <col min="2" max="2" width="8.421875" style="1" customWidth="1"/>
    <col min="3" max="3" width="9.140625" style="1" customWidth="1"/>
    <col min="4" max="4" width="14.57421875" style="1" customWidth="1"/>
    <col min="5" max="5" width="14.8515625" style="1" customWidth="1"/>
    <col min="6" max="6" width="15.7109375" style="1" customWidth="1"/>
    <col min="7" max="7" width="16.421875" style="1" customWidth="1"/>
    <col min="8" max="16384" width="9.140625" style="1" customWidth="1"/>
  </cols>
  <sheetData>
    <row r="1" spans="1:7" ht="15" customHeight="1">
      <c r="A1" s="342" t="s">
        <v>592</v>
      </c>
      <c r="B1" s="343"/>
      <c r="F1" s="341" t="s">
        <v>25</v>
      </c>
      <c r="G1" s="341"/>
    </row>
    <row r="2" spans="1:7" ht="15" customHeight="1">
      <c r="A2" s="343" t="s">
        <v>233</v>
      </c>
      <c r="B2" s="343"/>
      <c r="F2" s="341" t="s">
        <v>593</v>
      </c>
      <c r="G2" s="341"/>
    </row>
    <row r="3" spans="1:5" ht="15" customHeight="1">
      <c r="A3" s="343" t="s">
        <v>234</v>
      </c>
      <c r="B3" s="343"/>
      <c r="C3" s="12"/>
      <c r="D3" s="12"/>
      <c r="E3" s="12"/>
    </row>
    <row r="4" spans="1:7" ht="15" customHeight="1">
      <c r="A4" s="341" t="s">
        <v>269</v>
      </c>
      <c r="B4" s="341"/>
      <c r="C4" s="341"/>
      <c r="D4" s="341"/>
      <c r="E4" s="341"/>
      <c r="F4" s="341"/>
      <c r="G4" s="341"/>
    </row>
    <row r="5" spans="1:7" ht="15" customHeight="1">
      <c r="A5" s="340" t="s">
        <v>605</v>
      </c>
      <c r="B5" s="340"/>
      <c r="C5" s="340"/>
      <c r="D5" s="340"/>
      <c r="E5" s="340"/>
      <c r="F5" s="340"/>
      <c r="G5" s="340"/>
    </row>
    <row r="6" ht="10.5" customHeight="1">
      <c r="G6" s="14" t="s">
        <v>266</v>
      </c>
    </row>
    <row r="7" spans="1:7" s="5" customFormat="1" ht="38.25" customHeight="1">
      <c r="A7" s="4" t="s">
        <v>26</v>
      </c>
      <c r="B7" s="4" t="s">
        <v>27</v>
      </c>
      <c r="C7" s="4" t="s">
        <v>28</v>
      </c>
      <c r="D7" s="4" t="s">
        <v>585</v>
      </c>
      <c r="E7" s="4" t="s">
        <v>586</v>
      </c>
      <c r="F7" s="4" t="s">
        <v>587</v>
      </c>
      <c r="G7" s="4" t="s">
        <v>588</v>
      </c>
    </row>
    <row r="8" spans="1:7" ht="16.5" customHeight="1">
      <c r="A8" s="15" t="s">
        <v>270</v>
      </c>
      <c r="B8" s="15" t="s">
        <v>221</v>
      </c>
      <c r="C8" s="16" t="s">
        <v>271</v>
      </c>
      <c r="D8" s="17">
        <f>'[6]KQKD(Dung)'!$G$13</f>
        <v>23312732068</v>
      </c>
      <c r="E8" s="17">
        <v>23488252838</v>
      </c>
      <c r="F8" s="17">
        <f>'KQKD quy'!D8</f>
        <v>86856741226</v>
      </c>
      <c r="G8" s="17">
        <f>'KQKD quy'!E8</f>
        <v>76763399938</v>
      </c>
    </row>
    <row r="9" spans="1:7" ht="16.5" customHeight="1">
      <c r="A9" s="15" t="s">
        <v>272</v>
      </c>
      <c r="B9" s="15" t="s">
        <v>223</v>
      </c>
      <c r="C9" s="18" t="s">
        <v>273</v>
      </c>
      <c r="D9" s="19">
        <f>'[6]KQKD(Dung)'!$G$14</f>
        <v>64296540</v>
      </c>
      <c r="E9" s="19">
        <f>'[7]DN - BÁO CÁO KẾT QUẢ KINH DOANH'!$E$10</f>
        <v>44498351</v>
      </c>
      <c r="F9" s="19">
        <f>'KQKD quy'!D9</f>
        <v>893770874</v>
      </c>
      <c r="G9" s="19">
        <v>2172066559</v>
      </c>
    </row>
    <row r="10" spans="1:7" ht="25.5" customHeight="1">
      <c r="A10" s="321" t="s">
        <v>274</v>
      </c>
      <c r="B10" s="22" t="s">
        <v>275</v>
      </c>
      <c r="C10" s="16" t="s">
        <v>273</v>
      </c>
      <c r="D10" s="17">
        <f>+D8-D9</f>
        <v>23248435528</v>
      </c>
      <c r="E10" s="17">
        <f>+E8-E9</f>
        <v>23443754487</v>
      </c>
      <c r="F10" s="17">
        <f>+F8-F9</f>
        <v>85962970352</v>
      </c>
      <c r="G10" s="17">
        <f>+G8-G9</f>
        <v>74591333379</v>
      </c>
    </row>
    <row r="11" spans="1:7" ht="15.75" customHeight="1">
      <c r="A11" s="15" t="s">
        <v>276</v>
      </c>
      <c r="B11" s="15" t="s">
        <v>277</v>
      </c>
      <c r="C11" s="18" t="s">
        <v>278</v>
      </c>
      <c r="D11" s="19">
        <f>'[6]KQKD(Dung)'!$G$17</f>
        <v>16125318779</v>
      </c>
      <c r="E11" s="19">
        <f>'[7]DN - BÁO CÁO KẾT QUẢ KINH DOANH'!$E$12</f>
        <v>18568853164</v>
      </c>
      <c r="F11" s="19">
        <f>'KQKD quy'!D11</f>
        <v>65497234299</v>
      </c>
      <c r="G11" s="19">
        <v>55877488842</v>
      </c>
    </row>
    <row r="12" spans="1:7" ht="12.75" customHeight="1">
      <c r="A12" s="22" t="s">
        <v>279</v>
      </c>
      <c r="B12" s="22" t="s">
        <v>280</v>
      </c>
      <c r="C12" s="16"/>
      <c r="D12" s="17">
        <f>+D10-D11</f>
        <v>7123116749</v>
      </c>
      <c r="E12" s="17">
        <f>+E10-E11</f>
        <v>4874901323</v>
      </c>
      <c r="F12" s="17">
        <f>+F10-F11</f>
        <v>20465736053</v>
      </c>
      <c r="G12" s="17">
        <f>+G10-G11</f>
        <v>18713844537</v>
      </c>
    </row>
    <row r="13" spans="1:7" ht="15" customHeight="1">
      <c r="A13" s="15" t="s">
        <v>281</v>
      </c>
      <c r="B13" s="15" t="s">
        <v>282</v>
      </c>
      <c r="C13" s="18" t="s">
        <v>283</v>
      </c>
      <c r="D13" s="19">
        <f>'[6]KQKD(Dung)'!$G$20</f>
        <v>10863344</v>
      </c>
      <c r="E13" s="19">
        <f>'[7]DN - BÁO CÁO KẾT QUẢ KINH DOANH'!$E$14</f>
        <v>373494764</v>
      </c>
      <c r="F13" s="19">
        <f>'KQKD quy'!D13</f>
        <v>1880789699</v>
      </c>
      <c r="G13" s="19">
        <v>404499288</v>
      </c>
    </row>
    <row r="14" spans="1:7" ht="16.5" customHeight="1">
      <c r="A14" s="15" t="s">
        <v>284</v>
      </c>
      <c r="B14" s="15" t="s">
        <v>285</v>
      </c>
      <c r="C14" s="18" t="s">
        <v>286</v>
      </c>
      <c r="D14" s="19">
        <f>'[6]KQKD(Dung)'!$G$21</f>
        <v>2695934315</v>
      </c>
      <c r="E14" s="19">
        <f>'[7]DN - BÁO CÁO KẾT QUẢ KINH DOANH'!$E$15</f>
        <v>2539257155</v>
      </c>
      <c r="F14" s="19">
        <f>'KQKD quy'!D14</f>
        <v>6704551344</v>
      </c>
      <c r="G14" s="19">
        <v>13093719046</v>
      </c>
    </row>
    <row r="15" spans="1:7" s="327" customFormat="1" ht="16.5" customHeight="1">
      <c r="A15" s="326" t="s">
        <v>287</v>
      </c>
      <c r="B15" s="326" t="s">
        <v>288</v>
      </c>
      <c r="C15" s="23"/>
      <c r="D15" s="322">
        <f>'[6]KQKD(Dung)'!$G$22</f>
        <v>1402329315</v>
      </c>
      <c r="E15" s="322">
        <f>'[7]DN - BÁO CÁO KẾT QUẢ KINH DOANH'!$E$16</f>
        <v>1954319082</v>
      </c>
      <c r="F15" s="322">
        <f>'KQKD quy'!D15</f>
        <v>5410946344</v>
      </c>
      <c r="G15" s="322">
        <v>5791160244</v>
      </c>
    </row>
    <row r="16" spans="1:7" ht="16.5" customHeight="1">
      <c r="A16" s="15" t="s">
        <v>289</v>
      </c>
      <c r="B16" s="15" t="s">
        <v>290</v>
      </c>
      <c r="C16" s="18"/>
      <c r="D16" s="19"/>
      <c r="E16" s="19"/>
      <c r="F16" s="19">
        <f>D16</f>
        <v>0</v>
      </c>
      <c r="G16" s="19"/>
    </row>
    <row r="17" spans="1:7" ht="16.5" customHeight="1">
      <c r="A17" s="15" t="s">
        <v>291</v>
      </c>
      <c r="B17" s="15" t="s">
        <v>292</v>
      </c>
      <c r="C17" s="18" t="s">
        <v>293</v>
      </c>
      <c r="D17" s="19">
        <f>'[6]KQKD(Dung)'!$G$24</f>
        <v>3081688806</v>
      </c>
      <c r="E17" s="19">
        <f>'[7]DN - BÁO CÁO KẾT QUẢ KINH DOANH'!$E$18</f>
        <v>2313914461</v>
      </c>
      <c r="F17" s="19">
        <f>'KQKD quy'!D17</f>
        <v>9460037744</v>
      </c>
      <c r="G17" s="19">
        <v>7802576461</v>
      </c>
    </row>
    <row r="18" spans="1:7" ht="23.25" customHeight="1">
      <c r="A18" s="321" t="s">
        <v>294</v>
      </c>
      <c r="B18" s="22" t="s">
        <v>295</v>
      </c>
      <c r="C18" s="16"/>
      <c r="D18" s="17">
        <f>+D12+D13-D14-D16-D17</f>
        <v>1356356972</v>
      </c>
      <c r="E18" s="17">
        <f>+E12+E13-E14-E16-E17</f>
        <v>395224471</v>
      </c>
      <c r="F18" s="17">
        <f>+F12+F13-F14-F16-F17</f>
        <v>6181936664</v>
      </c>
      <c r="G18" s="17">
        <f>+G12+G13-G14-G16-G17</f>
        <v>-1777951682</v>
      </c>
    </row>
    <row r="19" spans="1:7" ht="15.75" customHeight="1">
      <c r="A19" s="15" t="s">
        <v>296</v>
      </c>
      <c r="B19" s="15" t="s">
        <v>297</v>
      </c>
      <c r="C19" s="18" t="s">
        <v>298</v>
      </c>
      <c r="D19" s="19"/>
      <c r="E19" s="19">
        <f>'[7]DN - BÁO CÁO KẾT QUẢ KINH DOANH'!$E$20</f>
        <v>0</v>
      </c>
      <c r="F19" s="19">
        <f>'KQKD quy'!D19</f>
        <v>324809091</v>
      </c>
      <c r="G19" s="19">
        <v>3008706002</v>
      </c>
    </row>
    <row r="20" spans="1:7" ht="16.5" customHeight="1">
      <c r="A20" s="15" t="s">
        <v>299</v>
      </c>
      <c r="B20" s="15" t="s">
        <v>300</v>
      </c>
      <c r="C20" s="18" t="s">
        <v>301</v>
      </c>
      <c r="D20" s="19"/>
      <c r="E20" s="19">
        <f>'[7]DN - BÁO CÁO KẾT QUẢ KINH DOANH'!$E$21</f>
        <v>1500000</v>
      </c>
      <c r="F20" s="19">
        <f>'KQKD quy'!D20</f>
        <v>21312675</v>
      </c>
      <c r="G20" s="19">
        <v>6595352</v>
      </c>
    </row>
    <row r="21" spans="1:7" ht="16.5" customHeight="1">
      <c r="A21" s="22" t="s">
        <v>302</v>
      </c>
      <c r="B21" s="22" t="s">
        <v>303</v>
      </c>
      <c r="C21" s="16"/>
      <c r="D21" s="17">
        <f>D19-D20</f>
        <v>0</v>
      </c>
      <c r="E21" s="17">
        <f>E19-E20</f>
        <v>-1500000</v>
      </c>
      <c r="F21" s="17">
        <f>F19-F20</f>
        <v>303496416</v>
      </c>
      <c r="G21" s="17">
        <f>G19-G20</f>
        <v>3002110650</v>
      </c>
    </row>
    <row r="22" spans="1:7" ht="14.25" customHeight="1">
      <c r="A22" s="15" t="s">
        <v>304</v>
      </c>
      <c r="B22" s="15" t="s">
        <v>305</v>
      </c>
      <c r="C22" s="16"/>
      <c r="D22" s="17"/>
      <c r="E22" s="17"/>
      <c r="F22" s="17"/>
      <c r="G22" s="17"/>
    </row>
    <row r="23" spans="1:7" ht="17.25" customHeight="1">
      <c r="A23" s="321" t="s">
        <v>306</v>
      </c>
      <c r="B23" s="22" t="s">
        <v>307</v>
      </c>
      <c r="C23" s="18" t="s">
        <v>308</v>
      </c>
      <c r="D23" s="17">
        <f>+D18+D21</f>
        <v>1356356972</v>
      </c>
      <c r="E23" s="17">
        <f>+E18+E21</f>
        <v>393724471</v>
      </c>
      <c r="F23" s="17">
        <f>+F18+F21</f>
        <v>6485433080</v>
      </c>
      <c r="G23" s="17">
        <f>+G18+G21</f>
        <v>1224158968</v>
      </c>
    </row>
    <row r="24" spans="1:7" ht="16.5" customHeight="1">
      <c r="A24" s="15" t="s">
        <v>309</v>
      </c>
      <c r="B24" s="15" t="s">
        <v>310</v>
      </c>
      <c r="C24" s="18"/>
      <c r="D24" s="323">
        <f>'[6]KQKD(Dung)'!$G$32</f>
        <v>339089243</v>
      </c>
      <c r="E24" s="19">
        <f>'[7]DN - BÁO CÁO KẾT QUẢ KINH DOANH'!$E$24</f>
        <v>98431118</v>
      </c>
      <c r="F24" s="19">
        <f>'KQKD quy'!D24</f>
        <v>1621358270</v>
      </c>
      <c r="G24" s="19">
        <v>306039742</v>
      </c>
    </row>
    <row r="25" spans="1:7" ht="16.5" customHeight="1">
      <c r="A25" s="15" t="s">
        <v>311</v>
      </c>
      <c r="B25" s="15" t="s">
        <v>312</v>
      </c>
      <c r="C25" s="16"/>
      <c r="D25" s="19">
        <v>0</v>
      </c>
      <c r="E25" s="19"/>
      <c r="F25" s="19">
        <f>D25</f>
        <v>0</v>
      </c>
      <c r="G25" s="19"/>
    </row>
    <row r="26" spans="1:7" ht="12.75" customHeight="1">
      <c r="A26" s="321" t="s">
        <v>313</v>
      </c>
      <c r="B26" s="22" t="s">
        <v>314</v>
      </c>
      <c r="C26" s="18"/>
      <c r="D26" s="17">
        <f>+D23-D24</f>
        <v>1017267729</v>
      </c>
      <c r="E26" s="17">
        <f>+E23-E24</f>
        <v>295293353</v>
      </c>
      <c r="F26" s="17">
        <f>+F23-F24</f>
        <v>4864074810</v>
      </c>
      <c r="G26" s="17">
        <f>G23-G24</f>
        <v>918119226</v>
      </c>
    </row>
    <row r="27" spans="1:7" ht="13.5" customHeight="1">
      <c r="A27" s="15" t="s">
        <v>315</v>
      </c>
      <c r="B27" s="15" t="s">
        <v>316</v>
      </c>
      <c r="C27" s="18"/>
      <c r="D27" s="17"/>
      <c r="E27" s="17"/>
      <c r="F27" s="17"/>
      <c r="G27" s="17"/>
    </row>
    <row r="28" spans="1:7" ht="15" customHeight="1">
      <c r="A28" s="15" t="s">
        <v>317</v>
      </c>
      <c r="B28" s="15" t="s">
        <v>318</v>
      </c>
      <c r="C28" s="16"/>
      <c r="D28" s="17"/>
      <c r="E28" s="17"/>
      <c r="F28" s="17"/>
      <c r="G28" s="17"/>
    </row>
    <row r="29" spans="1:7" ht="16.5" customHeight="1">
      <c r="A29" s="15" t="s">
        <v>319</v>
      </c>
      <c r="B29" s="15" t="s">
        <v>320</v>
      </c>
      <c r="C29" s="15"/>
      <c r="D29" s="29">
        <f>D26/(((999896000*1)+(12496929000*2))/3)</f>
        <v>0.11740525000736717</v>
      </c>
      <c r="E29" s="29">
        <v>0.03</v>
      </c>
      <c r="F29" s="29">
        <f>F26/(((9998960000*7)+(12496929000*2))/9)</f>
        <v>0.460872201228262</v>
      </c>
      <c r="G29" s="29">
        <v>0.011</v>
      </c>
    </row>
    <row r="30" spans="6:7" ht="15" customHeight="1">
      <c r="F30" s="348" t="s">
        <v>597</v>
      </c>
      <c r="G30" s="348"/>
    </row>
    <row r="31" spans="1:7" ht="15" customHeight="1">
      <c r="A31" s="24" t="s">
        <v>260</v>
      </c>
      <c r="B31" s="344" t="s">
        <v>262</v>
      </c>
      <c r="C31" s="344"/>
      <c r="D31" s="344"/>
      <c r="E31" s="344"/>
      <c r="F31" s="345" t="s">
        <v>321</v>
      </c>
      <c r="G31" s="345"/>
    </row>
    <row r="35" spans="1:7" ht="15" customHeight="1">
      <c r="A35" s="26" t="s">
        <v>261</v>
      </c>
      <c r="B35" s="346" t="s">
        <v>263</v>
      </c>
      <c r="C35" s="346"/>
      <c r="D35" s="346"/>
      <c r="E35" s="346"/>
      <c r="F35" s="347" t="s">
        <v>322</v>
      </c>
      <c r="G35" s="347"/>
    </row>
  </sheetData>
  <mergeCells count="12">
    <mergeCell ref="B31:E31"/>
    <mergeCell ref="F31:G31"/>
    <mergeCell ref="B35:E35"/>
    <mergeCell ref="F35:G35"/>
    <mergeCell ref="A3:B3"/>
    <mergeCell ref="A4:G4"/>
    <mergeCell ref="A5:G5"/>
    <mergeCell ref="F30:G30"/>
    <mergeCell ref="A1:B1"/>
    <mergeCell ref="F1:G1"/>
    <mergeCell ref="A2:B2"/>
    <mergeCell ref="F2:G2"/>
  </mergeCells>
  <printOptions/>
  <pageMargins left="0.56" right="0.38" top="0.2" bottom="0.2" header="0.2" footer="0.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6">
      <selection activeCell="A1" sqref="A1:B1"/>
    </sheetView>
  </sheetViews>
  <sheetFormatPr defaultColWidth="9.140625" defaultRowHeight="12"/>
  <cols>
    <col min="1" max="1" width="50.00390625" style="1" customWidth="1"/>
    <col min="2" max="2" width="7.28125" style="1" customWidth="1"/>
    <col min="3" max="3" width="8.00390625" style="1" customWidth="1"/>
    <col min="4" max="4" width="17.28125" style="1" customWidth="1"/>
    <col min="5" max="5" width="17.8515625" style="1" customWidth="1"/>
    <col min="6" max="6" width="0" style="1" hidden="1" customWidth="1"/>
    <col min="7" max="7" width="13.57421875" style="1" hidden="1" customWidth="1"/>
    <col min="8" max="9" width="0" style="1" hidden="1" customWidth="1"/>
    <col min="10" max="10" width="30.00390625" style="1" customWidth="1"/>
    <col min="11" max="11" width="13.57421875" style="1" bestFit="1" customWidth="1"/>
    <col min="12" max="16384" width="9.140625" style="1" customWidth="1"/>
  </cols>
  <sheetData>
    <row r="1" spans="1:5" ht="12">
      <c r="A1" s="342" t="s">
        <v>592</v>
      </c>
      <c r="B1" s="343"/>
      <c r="D1" s="341" t="s">
        <v>25</v>
      </c>
      <c r="E1" s="341"/>
    </row>
    <row r="2" spans="1:5" ht="12">
      <c r="A2" s="343" t="s">
        <v>233</v>
      </c>
      <c r="B2" s="343"/>
      <c r="D2" s="341" t="s">
        <v>593</v>
      </c>
      <c r="E2" s="341"/>
    </row>
    <row r="3" spans="1:5" ht="12">
      <c r="A3" s="343" t="s">
        <v>234</v>
      </c>
      <c r="B3" s="343"/>
      <c r="C3" s="12"/>
      <c r="D3" s="12"/>
      <c r="E3" s="12"/>
    </row>
    <row r="4" spans="1:5" ht="12">
      <c r="A4" s="341" t="s">
        <v>540</v>
      </c>
      <c r="B4" s="341"/>
      <c r="C4" s="341"/>
      <c r="D4" s="341"/>
      <c r="E4" s="341"/>
    </row>
    <row r="5" spans="1:5" ht="19.5" customHeight="1">
      <c r="A5" s="340" t="s">
        <v>578</v>
      </c>
      <c r="B5" s="340"/>
      <c r="C5" s="340"/>
      <c r="D5" s="340"/>
      <c r="E5" s="340"/>
    </row>
    <row r="6" ht="12">
      <c r="E6" s="14" t="s">
        <v>266</v>
      </c>
    </row>
    <row r="8" spans="1:5" s="5" customFormat="1" ht="24">
      <c r="A8" s="4" t="s">
        <v>26</v>
      </c>
      <c r="B8" s="4" t="s">
        <v>27</v>
      </c>
      <c r="C8" s="4" t="s">
        <v>28</v>
      </c>
      <c r="D8" s="4" t="s">
        <v>595</v>
      </c>
      <c r="E8" s="4" t="s">
        <v>594</v>
      </c>
    </row>
    <row r="9" spans="1:5" ht="15.75" customHeight="1">
      <c r="A9" s="22" t="s">
        <v>541</v>
      </c>
      <c r="B9" s="22"/>
      <c r="C9" s="22"/>
      <c r="D9" s="22"/>
      <c r="E9" s="22"/>
    </row>
    <row r="10" spans="1:10" ht="15.75" customHeight="1">
      <c r="A10" s="15" t="s">
        <v>542</v>
      </c>
      <c r="B10" s="15" t="s">
        <v>221</v>
      </c>
      <c r="C10" s="116"/>
      <c r="D10" s="117">
        <f>64771968916+51198187030</f>
        <v>115970155946</v>
      </c>
      <c r="E10" s="117">
        <v>40392254562</v>
      </c>
      <c r="J10" s="333"/>
    </row>
    <row r="11" spans="1:5" ht="15.75" customHeight="1">
      <c r="A11" s="15" t="s">
        <v>543</v>
      </c>
      <c r="B11" s="15" t="s">
        <v>223</v>
      </c>
      <c r="C11" s="116"/>
      <c r="D11" s="117">
        <f>-19850790623+-1596274306</f>
        <v>-21447064929</v>
      </c>
      <c r="E11" s="117">
        <v>-15299194352</v>
      </c>
    </row>
    <row r="12" spans="1:5" ht="15.75" customHeight="1">
      <c r="A12" s="15" t="s">
        <v>544</v>
      </c>
      <c r="B12" s="15" t="s">
        <v>225</v>
      </c>
      <c r="C12" s="85"/>
      <c r="D12" s="117">
        <f>-3835609645+-960671300</f>
        <v>-4796280945</v>
      </c>
      <c r="E12" s="117">
        <v>-7104706207</v>
      </c>
    </row>
    <row r="13" spans="1:5" ht="15.75" customHeight="1">
      <c r="A13" s="15" t="s">
        <v>545</v>
      </c>
      <c r="B13" s="15" t="s">
        <v>227</v>
      </c>
      <c r="C13" s="116"/>
      <c r="D13" s="117">
        <f>-249265081+-10097385172</f>
        <v>-10346650253</v>
      </c>
      <c r="E13" s="117">
        <v>-8526696682</v>
      </c>
    </row>
    <row r="14" spans="1:5" ht="15.75" customHeight="1">
      <c r="A14" s="15" t="s">
        <v>546</v>
      </c>
      <c r="B14" s="15" t="s">
        <v>229</v>
      </c>
      <c r="C14" s="85"/>
      <c r="D14" s="117">
        <v>0</v>
      </c>
      <c r="E14" s="117"/>
    </row>
    <row r="15" spans="1:5" ht="15.75" customHeight="1">
      <c r="A15" s="15" t="s">
        <v>547</v>
      </c>
      <c r="B15" s="15" t="s">
        <v>231</v>
      </c>
      <c r="C15" s="85"/>
      <c r="D15" s="117">
        <f>8012151885+1656426887</f>
        <v>9668578772</v>
      </c>
      <c r="E15" s="117">
        <v>14666538306</v>
      </c>
    </row>
    <row r="16" spans="1:5" ht="15.75" customHeight="1">
      <c r="A16" s="15" t="s">
        <v>548</v>
      </c>
      <c r="B16" s="15" t="s">
        <v>549</v>
      </c>
      <c r="C16" s="85"/>
      <c r="D16" s="117">
        <f>-99000+-10671206892+-48069497870</f>
        <v>-58740803762</v>
      </c>
      <c r="E16" s="117">
        <v>-37734210967</v>
      </c>
    </row>
    <row r="17" spans="1:7" ht="15.75" customHeight="1">
      <c r="A17" s="22" t="s">
        <v>550</v>
      </c>
      <c r="B17" s="22" t="s">
        <v>280</v>
      </c>
      <c r="C17" s="20"/>
      <c r="D17" s="21">
        <f>SUM(D10:D16)</f>
        <v>30307934829</v>
      </c>
      <c r="E17" s="21">
        <f>SUM(E10:E16)</f>
        <v>-13606015340</v>
      </c>
      <c r="G17" s="279">
        <f>D17-'[3]BC LCTT'!$D$17</f>
        <v>42061313344</v>
      </c>
    </row>
    <row r="18" spans="1:5" ht="15.75" customHeight="1">
      <c r="A18" s="22" t="s">
        <v>551</v>
      </c>
      <c r="B18" s="22"/>
      <c r="C18" s="20"/>
      <c r="D18" s="21">
        <v>0</v>
      </c>
      <c r="E18" s="21"/>
    </row>
    <row r="19" spans="1:5" ht="15.75" customHeight="1">
      <c r="A19" s="15" t="s">
        <v>552</v>
      </c>
      <c r="B19" s="15" t="s">
        <v>282</v>
      </c>
      <c r="C19" s="271"/>
      <c r="D19" s="117">
        <f>-108180181</f>
        <v>-108180181</v>
      </c>
      <c r="E19" s="117">
        <v>-765370882</v>
      </c>
    </row>
    <row r="20" spans="1:5" ht="15.75" customHeight="1">
      <c r="A20" s="15" t="s">
        <v>553</v>
      </c>
      <c r="B20" s="15" t="s">
        <v>285</v>
      </c>
      <c r="C20" s="116"/>
      <c r="D20" s="117">
        <v>0</v>
      </c>
      <c r="E20" s="117"/>
    </row>
    <row r="21" spans="1:5" ht="15.75" customHeight="1">
      <c r="A21" s="15" t="s">
        <v>554</v>
      </c>
      <c r="B21" s="15" t="s">
        <v>288</v>
      </c>
      <c r="C21" s="116"/>
      <c r="D21" s="117">
        <f>-3980000000</f>
        <v>-3980000000</v>
      </c>
      <c r="E21" s="117">
        <v>-1650000000</v>
      </c>
    </row>
    <row r="22" spans="1:5" ht="15.75" customHeight="1">
      <c r="A22" s="15" t="s">
        <v>555</v>
      </c>
      <c r="B22" s="15" t="s">
        <v>290</v>
      </c>
      <c r="C22" s="85"/>
      <c r="D22" s="117">
        <f>900000000</f>
        <v>900000000</v>
      </c>
      <c r="E22" s="117"/>
    </row>
    <row r="23" spans="1:5" ht="15.75" customHeight="1">
      <c r="A23" s="15" t="s">
        <v>556</v>
      </c>
      <c r="B23" s="15" t="s">
        <v>292</v>
      </c>
      <c r="C23" s="85"/>
      <c r="D23" s="117"/>
      <c r="E23" s="117">
        <v>-1216270401</v>
      </c>
    </row>
    <row r="24" spans="1:5" ht="18" customHeight="1">
      <c r="A24" s="15" t="s">
        <v>557</v>
      </c>
      <c r="B24" s="15" t="s">
        <v>558</v>
      </c>
      <c r="C24" s="85"/>
      <c r="D24" s="117">
        <v>0</v>
      </c>
      <c r="E24" s="117"/>
    </row>
    <row r="25" spans="1:5" ht="15.75" customHeight="1">
      <c r="A25" s="15" t="s">
        <v>559</v>
      </c>
      <c r="B25" s="15" t="s">
        <v>560</v>
      </c>
      <c r="C25" s="85"/>
      <c r="D25" s="272">
        <f>42066463+14243657+230155</f>
        <v>56540275</v>
      </c>
      <c r="E25" s="272">
        <v>39379327</v>
      </c>
    </row>
    <row r="26" spans="1:7" ht="15.75" customHeight="1">
      <c r="A26" s="22" t="s">
        <v>561</v>
      </c>
      <c r="B26" s="22" t="s">
        <v>295</v>
      </c>
      <c r="C26" s="20"/>
      <c r="D26" s="21">
        <f>SUM(D19:D25)</f>
        <v>-3131639906</v>
      </c>
      <c r="E26" s="21">
        <f>SUM(E19:E25)</f>
        <v>-3592261956</v>
      </c>
      <c r="G26" s="279">
        <f>D26-'[3]BC LCTT'!$D$26</f>
        <v>-758627406</v>
      </c>
    </row>
    <row r="27" spans="1:5" ht="15.75" customHeight="1">
      <c r="A27" s="22" t="s">
        <v>562</v>
      </c>
      <c r="B27" s="22"/>
      <c r="C27" s="273"/>
      <c r="D27" s="21">
        <v>0</v>
      </c>
      <c r="E27" s="21"/>
    </row>
    <row r="28" spans="1:5" ht="21" customHeight="1">
      <c r="A28" s="15" t="s">
        <v>563</v>
      </c>
      <c r="B28" s="15" t="s">
        <v>297</v>
      </c>
      <c r="C28" s="273"/>
      <c r="D28" s="117"/>
      <c r="E28" s="117"/>
    </row>
    <row r="29" spans="1:5" ht="15.75" customHeight="1">
      <c r="A29" s="15" t="s">
        <v>564</v>
      </c>
      <c r="B29" s="15" t="s">
        <v>300</v>
      </c>
      <c r="C29" s="85"/>
      <c r="D29" s="117">
        <v>0</v>
      </c>
      <c r="E29" s="117"/>
    </row>
    <row r="30" spans="1:5" ht="15.75" customHeight="1">
      <c r="A30" s="15" t="s">
        <v>565</v>
      </c>
      <c r="B30" s="15" t="s">
        <v>566</v>
      </c>
      <c r="C30" s="273"/>
      <c r="D30" s="117">
        <f>10548144000+495818</f>
        <v>10548639818</v>
      </c>
      <c r="E30" s="117">
        <v>45186477076</v>
      </c>
    </row>
    <row r="31" spans="1:5" ht="15.75" customHeight="1">
      <c r="A31" s="15" t="s">
        <v>567</v>
      </c>
      <c r="B31" s="15" t="s">
        <v>568</v>
      </c>
      <c r="C31" s="85"/>
      <c r="D31" s="117">
        <f>-37960402816</f>
        <v>-37960402816</v>
      </c>
      <c r="E31" s="117">
        <v>-22950238903</v>
      </c>
    </row>
    <row r="32" spans="1:5" ht="15.75" customHeight="1">
      <c r="A32" s="15" t="s">
        <v>569</v>
      </c>
      <c r="B32" s="15" t="s">
        <v>570</v>
      </c>
      <c r="C32" s="273"/>
      <c r="D32" s="272">
        <f>-5532250023</f>
        <v>-5532250023</v>
      </c>
      <c r="E32" s="272">
        <v>-5937849680</v>
      </c>
    </row>
    <row r="33" spans="1:5" ht="15.75" customHeight="1">
      <c r="A33" s="15" t="s">
        <v>571</v>
      </c>
      <c r="B33" s="15" t="s">
        <v>572</v>
      </c>
      <c r="C33" s="274"/>
      <c r="D33" s="272">
        <f>-279300000+-135000</f>
        <v>-279435000</v>
      </c>
      <c r="E33" s="272">
        <v>-425728488</v>
      </c>
    </row>
    <row r="34" spans="1:10" ht="15.75" customHeight="1">
      <c r="A34" s="22" t="s">
        <v>573</v>
      </c>
      <c r="B34" s="22" t="s">
        <v>303</v>
      </c>
      <c r="C34" s="275"/>
      <c r="D34" s="21">
        <f>SUM(D28:D33)</f>
        <v>-33223448021</v>
      </c>
      <c r="E34" s="21">
        <f>SUM(E28:E33)</f>
        <v>15872660005</v>
      </c>
      <c r="G34" s="279">
        <f>D34-'[3]BC LCTT'!$D$34</f>
        <v>-49096108026</v>
      </c>
      <c r="J34" s="279">
        <f>E34-15186380324</f>
        <v>686279681</v>
      </c>
    </row>
    <row r="35" spans="1:5" ht="15.75" customHeight="1">
      <c r="A35" s="22" t="s">
        <v>574</v>
      </c>
      <c r="B35" s="22" t="s">
        <v>307</v>
      </c>
      <c r="C35" s="275"/>
      <c r="D35" s="21">
        <f>D34+D26+D17</f>
        <v>-6047153098</v>
      </c>
      <c r="E35" s="21">
        <f>E34+E26+E17</f>
        <v>-1325617291</v>
      </c>
    </row>
    <row r="36" spans="1:5" ht="18" customHeight="1">
      <c r="A36" s="15" t="s">
        <v>575</v>
      </c>
      <c r="B36" s="15" t="s">
        <v>314</v>
      </c>
      <c r="C36" s="274"/>
      <c r="D36" s="19">
        <v>9674867969</v>
      </c>
      <c r="E36" s="19">
        <v>2807365930</v>
      </c>
    </row>
    <row r="37" spans="1:5" ht="18" customHeight="1">
      <c r="A37" s="15" t="s">
        <v>576</v>
      </c>
      <c r="B37" s="15" t="s">
        <v>316</v>
      </c>
      <c r="C37" s="274"/>
      <c r="D37" s="117">
        <v>0</v>
      </c>
      <c r="E37" s="117">
        <v>0</v>
      </c>
    </row>
    <row r="38" spans="1:11" ht="15.75" customHeight="1">
      <c r="A38" s="22" t="s">
        <v>577</v>
      </c>
      <c r="B38" s="22" t="s">
        <v>320</v>
      </c>
      <c r="C38" s="22"/>
      <c r="D38" s="17">
        <f>D35+D37+D36</f>
        <v>3627714871</v>
      </c>
      <c r="E38" s="17">
        <f>E35+E37+E36</f>
        <v>1481748639</v>
      </c>
      <c r="J38" s="279">
        <f>D38-3627714871</f>
        <v>0</v>
      </c>
      <c r="K38" s="279"/>
    </row>
    <row r="40" spans="4:5" ht="12.75">
      <c r="D40" s="348" t="s">
        <v>597</v>
      </c>
      <c r="E40" s="348"/>
    </row>
    <row r="41" spans="1:5" ht="12.75">
      <c r="A41" s="24" t="s">
        <v>260</v>
      </c>
      <c r="B41" s="25" t="s">
        <v>262</v>
      </c>
      <c r="D41" s="345" t="s">
        <v>321</v>
      </c>
      <c r="E41" s="345"/>
    </row>
    <row r="42" ht="12">
      <c r="E42" s="279"/>
    </row>
    <row r="43" ht="12">
      <c r="D43" s="279"/>
    </row>
    <row r="44" ht="12">
      <c r="D44" s="279"/>
    </row>
    <row r="47" spans="1:5" ht="12.75">
      <c r="A47" s="26" t="s">
        <v>261</v>
      </c>
      <c r="B47" s="27" t="s">
        <v>263</v>
      </c>
      <c r="D47" s="347" t="s">
        <v>322</v>
      </c>
      <c r="E47" s="347"/>
    </row>
  </sheetData>
  <mergeCells count="10">
    <mergeCell ref="D41:E41"/>
    <mergeCell ref="D47:E47"/>
    <mergeCell ref="A3:B3"/>
    <mergeCell ref="A4:E4"/>
    <mergeCell ref="A5:E5"/>
    <mergeCell ref="D40:E40"/>
    <mergeCell ref="A1:B1"/>
    <mergeCell ref="D1:E1"/>
    <mergeCell ref="A2:B2"/>
    <mergeCell ref="D2:E2"/>
  </mergeCells>
  <printOptions/>
  <pageMargins left="0.31" right="0.21" top="0.52" bottom="0.5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4"/>
  <sheetViews>
    <sheetView workbookViewId="0" topLeftCell="A373">
      <selection activeCell="C220" sqref="C220"/>
    </sheetView>
  </sheetViews>
  <sheetFormatPr defaultColWidth="9.140625" defaultRowHeight="12"/>
  <cols>
    <col min="1" max="1" width="6.28125" style="42" customWidth="1"/>
    <col min="2" max="2" width="0.2890625" style="43" customWidth="1"/>
    <col min="3" max="3" width="25.7109375" style="32" customWidth="1"/>
    <col min="4" max="4" width="1.7109375" style="32" customWidth="1"/>
    <col min="5" max="5" width="16.00390625" style="32" customWidth="1"/>
    <col min="6" max="6" width="0.71875" style="32" hidden="1" customWidth="1"/>
    <col min="7" max="7" width="15.7109375" style="32" customWidth="1"/>
    <col min="8" max="8" width="0.42578125" style="32" customWidth="1"/>
    <col min="9" max="9" width="17.8515625" style="37" customWidth="1"/>
    <col min="10" max="10" width="0.13671875" style="32" customWidth="1"/>
    <col min="11" max="11" width="17.8515625" style="40" customWidth="1"/>
    <col min="12" max="12" width="18.57421875" style="2" hidden="1" customWidth="1"/>
    <col min="13" max="13" width="16.8515625" style="6" hidden="1" customWidth="1"/>
    <col min="14" max="14" width="17.00390625" style="6" hidden="1" customWidth="1"/>
    <col min="15" max="18" width="14.140625" style="6" hidden="1" customWidth="1"/>
    <col min="19" max="19" width="20.00390625" style="2" customWidth="1"/>
    <col min="20" max="20" width="18.140625" style="2" customWidth="1"/>
    <col min="21" max="29" width="14.140625" style="6" customWidth="1"/>
    <col min="30" max="16384" width="28.00390625" style="6" customWidth="1"/>
  </cols>
  <sheetData>
    <row r="1" spans="1:11" ht="16.5">
      <c r="A1" s="30" t="s">
        <v>323</v>
      </c>
      <c r="B1" s="31"/>
      <c r="I1" s="358" t="s">
        <v>324</v>
      </c>
      <c r="J1" s="358"/>
      <c r="K1" s="358"/>
    </row>
    <row r="2" spans="1:11" ht="15">
      <c r="A2" s="33" t="s">
        <v>325</v>
      </c>
      <c r="B2" s="33"/>
      <c r="I2" s="337" t="s">
        <v>593</v>
      </c>
      <c r="J2" s="337"/>
      <c r="K2" s="337"/>
    </row>
    <row r="3" spans="1:11" ht="15">
      <c r="A3" s="34" t="s">
        <v>326</v>
      </c>
      <c r="B3" s="32"/>
      <c r="H3" s="35"/>
      <c r="I3" s="359" t="s">
        <v>327</v>
      </c>
      <c r="J3" s="359"/>
      <c r="K3" s="359"/>
    </row>
    <row r="4" spans="1:11" ht="15">
      <c r="A4" s="329"/>
      <c r="B4" s="330"/>
      <c r="C4" s="39"/>
      <c r="D4" s="39"/>
      <c r="E4" s="39"/>
      <c r="F4" s="39"/>
      <c r="G4" s="39"/>
      <c r="H4" s="39"/>
      <c r="I4" s="331"/>
      <c r="J4" s="39"/>
      <c r="K4" s="332"/>
    </row>
    <row r="5" spans="1:11" ht="20.25">
      <c r="A5" s="360" t="s">
        <v>579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</row>
    <row r="7" spans="1:11" ht="15">
      <c r="A7" s="42" t="s">
        <v>328</v>
      </c>
      <c r="C7" s="44" t="s">
        <v>329</v>
      </c>
      <c r="D7" s="45"/>
      <c r="E7" s="45"/>
      <c r="F7" s="45"/>
      <c r="G7" s="45"/>
      <c r="H7" s="45"/>
      <c r="I7" s="46"/>
      <c r="J7" s="45"/>
      <c r="K7" s="47"/>
    </row>
    <row r="8" spans="3:11" ht="15">
      <c r="C8" s="48"/>
      <c r="D8" s="45"/>
      <c r="E8" s="45"/>
      <c r="F8" s="45"/>
      <c r="G8" s="45"/>
      <c r="H8" s="45"/>
      <c r="I8" s="46"/>
      <c r="J8" s="45"/>
      <c r="K8" s="47"/>
    </row>
    <row r="9" spans="1:11" ht="15">
      <c r="A9" s="49" t="s">
        <v>330</v>
      </c>
      <c r="C9" s="44" t="s">
        <v>331</v>
      </c>
      <c r="D9" s="45"/>
      <c r="E9" s="45"/>
      <c r="F9" s="45"/>
      <c r="G9" s="45"/>
      <c r="H9" s="45"/>
      <c r="I9" s="50" t="s">
        <v>598</v>
      </c>
      <c r="J9" s="51"/>
      <c r="K9" s="50" t="s">
        <v>580</v>
      </c>
    </row>
    <row r="10" spans="3:11" ht="15">
      <c r="C10" s="44" t="s">
        <v>332</v>
      </c>
      <c r="G10" s="45"/>
      <c r="H10" s="45"/>
      <c r="I10" s="52" t="s">
        <v>333</v>
      </c>
      <c r="J10" s="53"/>
      <c r="K10" s="52" t="s">
        <v>333</v>
      </c>
    </row>
    <row r="11" spans="1:11" ht="14.25">
      <c r="A11" s="54"/>
      <c r="B11" s="32"/>
      <c r="C11" s="55" t="s">
        <v>334</v>
      </c>
      <c r="G11" s="45"/>
      <c r="H11" s="45"/>
      <c r="I11" s="56">
        <f>1521064367+151847877</f>
        <v>1672912244</v>
      </c>
      <c r="J11" s="55"/>
      <c r="K11" s="56">
        <v>73269338</v>
      </c>
    </row>
    <row r="12" spans="1:11" ht="14.25">
      <c r="A12" s="54"/>
      <c r="B12" s="32"/>
      <c r="C12" s="55" t="s">
        <v>335</v>
      </c>
      <c r="G12" s="45"/>
      <c r="H12" s="45"/>
      <c r="I12" s="56">
        <f>5828885+1818099846+130873896</f>
        <v>1954802627</v>
      </c>
      <c r="J12" s="57"/>
      <c r="K12" s="56">
        <f>1540524410+8055376491+5697730</f>
        <v>9601598631</v>
      </c>
    </row>
    <row r="13" spans="3:19" ht="15.75" thickBot="1">
      <c r="C13" s="44" t="s">
        <v>336</v>
      </c>
      <c r="G13" s="45"/>
      <c r="H13" s="45"/>
      <c r="I13" s="58">
        <f>+I12+I11</f>
        <v>3627714871</v>
      </c>
      <c r="J13" s="59"/>
      <c r="K13" s="58">
        <f>+K12+K11</f>
        <v>9674867969</v>
      </c>
      <c r="L13" s="2">
        <f>I13-'BẢNG CÂN ĐỐI KẾ TOÁN'!D10</f>
        <v>0</v>
      </c>
      <c r="S13" s="2">
        <f>I13-'BẢNG CÂN ĐỐI KẾ TOÁN'!D11</f>
        <v>0</v>
      </c>
    </row>
    <row r="14" spans="3:11" ht="15.75" thickTop="1">
      <c r="C14" s="44"/>
      <c r="G14" s="45"/>
      <c r="H14" s="45"/>
      <c r="I14" s="60"/>
      <c r="J14" s="59"/>
      <c r="K14" s="61"/>
    </row>
    <row r="15" spans="1:11" ht="15">
      <c r="A15" s="49" t="s">
        <v>337</v>
      </c>
      <c r="C15" s="44" t="s">
        <v>338</v>
      </c>
      <c r="G15" s="45"/>
      <c r="H15" s="45"/>
      <c r="I15" s="50" t="s">
        <v>598</v>
      </c>
      <c r="J15" s="51"/>
      <c r="K15" s="50" t="s">
        <v>580</v>
      </c>
    </row>
    <row r="16" spans="3:11" ht="15">
      <c r="C16" s="44" t="s">
        <v>332</v>
      </c>
      <c r="G16" s="45"/>
      <c r="H16" s="45"/>
      <c r="I16" s="52" t="s">
        <v>333</v>
      </c>
      <c r="J16" s="53"/>
      <c r="K16" s="52" t="s">
        <v>333</v>
      </c>
    </row>
    <row r="17" spans="1:11" ht="14.25">
      <c r="A17" s="54"/>
      <c r="B17" s="32"/>
      <c r="C17" s="55" t="s">
        <v>339</v>
      </c>
      <c r="G17" s="45"/>
      <c r="H17" s="45"/>
      <c r="I17" s="79">
        <f>9797118800</f>
        <v>9797118800</v>
      </c>
      <c r="J17" s="57"/>
      <c r="K17" s="79">
        <f>K18+K19</f>
        <v>4078120000</v>
      </c>
    </row>
    <row r="18" spans="1:20" s="67" customFormat="1" ht="15">
      <c r="A18" s="70"/>
      <c r="B18" s="84"/>
      <c r="C18" s="72" t="s">
        <v>2</v>
      </c>
      <c r="D18" s="84"/>
      <c r="E18" s="84"/>
      <c r="F18" s="84"/>
      <c r="G18" s="115"/>
      <c r="H18" s="115"/>
      <c r="I18" s="62"/>
      <c r="J18" s="63"/>
      <c r="K18" s="62">
        <f>12022845989</f>
        <v>12022845989</v>
      </c>
      <c r="L18" s="297"/>
      <c r="S18" s="297"/>
      <c r="T18" s="297"/>
    </row>
    <row r="19" spans="1:11" ht="14.25">
      <c r="A19" s="54"/>
      <c r="B19" s="32"/>
      <c r="C19" s="55" t="s">
        <v>340</v>
      </c>
      <c r="G19" s="45"/>
      <c r="H19" s="45"/>
      <c r="I19" s="79">
        <f>-6182818777</f>
        <v>-6182818777</v>
      </c>
      <c r="J19" s="57"/>
      <c r="K19" s="79">
        <v>-7944725989</v>
      </c>
    </row>
    <row r="20" spans="3:19" ht="15.75" thickBot="1">
      <c r="C20" s="44" t="s">
        <v>336</v>
      </c>
      <c r="G20" s="45"/>
      <c r="H20" s="45"/>
      <c r="I20" s="58">
        <f>I19+I17</f>
        <v>3614300023</v>
      </c>
      <c r="J20" s="59"/>
      <c r="K20" s="58">
        <f>+K17+K19</f>
        <v>-3866605989</v>
      </c>
      <c r="L20" s="2">
        <f>I20-'BẢNG CÂN ĐỐI KẾ TOÁN'!D13</f>
        <v>0</v>
      </c>
      <c r="S20" s="2">
        <f>I20-'BẢNG CÂN ĐỐI KẾ TOÁN'!D13</f>
        <v>0</v>
      </c>
    </row>
    <row r="21" spans="3:11" ht="15.75" thickTop="1">
      <c r="C21" s="64"/>
      <c r="G21" s="45"/>
      <c r="H21" s="45"/>
      <c r="I21" s="46"/>
      <c r="J21" s="45"/>
      <c r="K21" s="47"/>
    </row>
    <row r="22" spans="1:11" ht="15">
      <c r="A22" s="49" t="s">
        <v>341</v>
      </c>
      <c r="C22" s="44" t="s">
        <v>3</v>
      </c>
      <c r="G22" s="45"/>
      <c r="H22" s="45"/>
      <c r="I22" s="50" t="s">
        <v>598</v>
      </c>
      <c r="J22" s="51"/>
      <c r="K22" s="50" t="s">
        <v>580</v>
      </c>
    </row>
    <row r="23" spans="3:11" ht="15">
      <c r="C23" s="44" t="s">
        <v>332</v>
      </c>
      <c r="G23" s="45"/>
      <c r="H23" s="45"/>
      <c r="I23" s="52" t="s">
        <v>333</v>
      </c>
      <c r="J23" s="53"/>
      <c r="K23" s="52" t="s">
        <v>333</v>
      </c>
    </row>
    <row r="24" spans="1:20" ht="14.25">
      <c r="A24" s="54"/>
      <c r="B24" s="32"/>
      <c r="C24" s="55" t="s">
        <v>342</v>
      </c>
      <c r="G24" s="45"/>
      <c r="H24" s="45"/>
      <c r="I24" s="2">
        <v>44298268370</v>
      </c>
      <c r="J24" s="2" t="e">
        <f>#REF!+#REF!</f>
        <v>#REF!</v>
      </c>
      <c r="K24" s="2">
        <v>28427417408</v>
      </c>
      <c r="L24" s="2">
        <f>I24-'BẢNG CÂN ĐỐI KẾ TOÁN'!D17</f>
        <v>0</v>
      </c>
      <c r="S24" s="2">
        <f>I24-'BẢNG CÂN ĐỐI KẾ TOÁN'!D17</f>
        <v>0</v>
      </c>
      <c r="T24" s="2">
        <f>K24-'BẢNG CÂN ĐỐI KẾ TOÁN'!E17</f>
        <v>0</v>
      </c>
    </row>
    <row r="25" spans="1:20" ht="14.25">
      <c r="A25" s="54"/>
      <c r="B25" s="32"/>
      <c r="C25" s="55" t="s">
        <v>343</v>
      </c>
      <c r="G25" s="45"/>
      <c r="H25" s="45"/>
      <c r="I25" s="2">
        <f>11444710727-9210661810</f>
        <v>2234048917</v>
      </c>
      <c r="J25" s="6"/>
      <c r="K25" s="2">
        <v>2851773386</v>
      </c>
      <c r="L25" s="2">
        <f>I25-'BẢNG CÂN ĐỐI KẾ TOÁN'!D18</f>
        <v>0</v>
      </c>
      <c r="S25" s="2">
        <f>I25-'BẢNG CÂN ĐỐI KẾ TOÁN'!D18</f>
        <v>0</v>
      </c>
      <c r="T25" s="2">
        <f>K25-'BẢNG CÂN ĐỐI KẾ TOÁN'!E18</f>
        <v>0</v>
      </c>
    </row>
    <row r="26" spans="1:11" ht="19.5" customHeight="1" thickBot="1">
      <c r="A26" s="54"/>
      <c r="B26" s="32"/>
      <c r="C26" s="44" t="s">
        <v>336</v>
      </c>
      <c r="G26" s="45"/>
      <c r="H26" s="45"/>
      <c r="I26" s="58">
        <f>I25+I24</f>
        <v>46532317287</v>
      </c>
      <c r="J26" s="59"/>
      <c r="K26" s="58">
        <f>K25+K24</f>
        <v>31279190794</v>
      </c>
    </row>
    <row r="27" spans="1:11" ht="15" thickTop="1">
      <c r="A27" s="54"/>
      <c r="B27" s="32"/>
      <c r="C27" s="55"/>
      <c r="G27" s="45"/>
      <c r="H27" s="45"/>
      <c r="I27" s="2"/>
      <c r="J27" s="6"/>
      <c r="K27" s="2"/>
    </row>
    <row r="28" spans="1:20" s="43" customFormat="1" ht="15">
      <c r="A28" s="42">
        <v>4</v>
      </c>
      <c r="C28" s="44" t="s">
        <v>344</v>
      </c>
      <c r="G28" s="68"/>
      <c r="H28" s="68"/>
      <c r="I28" s="50" t="s">
        <v>598</v>
      </c>
      <c r="J28" s="51"/>
      <c r="K28" s="50" t="s">
        <v>580</v>
      </c>
      <c r="L28" s="298">
        <f>4921975021-K28</f>
        <v>4921934112</v>
      </c>
      <c r="S28" s="298"/>
      <c r="T28" s="298"/>
    </row>
    <row r="29" spans="1:20" s="32" customFormat="1" ht="14.25">
      <c r="A29" s="54"/>
      <c r="C29" s="55" t="s">
        <v>344</v>
      </c>
      <c r="G29" s="45"/>
      <c r="H29" s="45"/>
      <c r="I29" s="79">
        <v>1373376329</v>
      </c>
      <c r="J29" s="79"/>
      <c r="K29" s="79">
        <v>1073126956</v>
      </c>
      <c r="L29" s="40"/>
      <c r="S29" s="40"/>
      <c r="T29" s="40"/>
    </row>
    <row r="30" spans="1:20" s="43" customFormat="1" ht="15.75" thickBot="1">
      <c r="A30" s="42"/>
      <c r="C30" s="44" t="s">
        <v>336</v>
      </c>
      <c r="D30" s="32"/>
      <c r="E30" s="32"/>
      <c r="F30" s="32"/>
      <c r="G30" s="45"/>
      <c r="H30" s="45"/>
      <c r="I30" s="58">
        <f>I29</f>
        <v>1373376329</v>
      </c>
      <c r="J30" s="59"/>
      <c r="K30" s="58">
        <f>K29</f>
        <v>1073126956</v>
      </c>
      <c r="L30" s="298"/>
      <c r="S30" s="298">
        <f>I30-'BẢNG CÂN ĐỐI KẾ TOÁN'!D21</f>
        <v>0</v>
      </c>
      <c r="T30" s="298">
        <f>K30-'BẢNG CÂN ĐỐI KẾ TOÁN'!E21</f>
        <v>0</v>
      </c>
    </row>
    <row r="31" spans="1:11" ht="15" thickTop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ht="15">
      <c r="A32" s="49">
        <v>5</v>
      </c>
      <c r="C32" s="44" t="s">
        <v>345</v>
      </c>
      <c r="G32" s="45"/>
      <c r="H32" s="45"/>
      <c r="I32" s="50" t="s">
        <v>598</v>
      </c>
      <c r="J32" s="51"/>
      <c r="K32" s="50" t="s">
        <v>580</v>
      </c>
    </row>
    <row r="33" spans="3:11" ht="15">
      <c r="C33" s="44" t="s">
        <v>332</v>
      </c>
      <c r="G33" s="45"/>
      <c r="H33" s="45"/>
      <c r="I33" s="52" t="s">
        <v>333</v>
      </c>
      <c r="J33" s="53"/>
      <c r="K33" s="52" t="s">
        <v>333</v>
      </c>
    </row>
    <row r="34" spans="1:11" ht="14.25">
      <c r="A34" s="54"/>
      <c r="B34" s="32"/>
      <c r="C34" s="55" t="s">
        <v>346</v>
      </c>
      <c r="G34" s="45"/>
      <c r="H34" s="45"/>
      <c r="I34" s="78"/>
      <c r="J34" s="57"/>
      <c r="K34" s="78"/>
    </row>
    <row r="35" spans="1:11" ht="14.25">
      <c r="A35" s="54"/>
      <c r="B35" s="32"/>
      <c r="C35" s="55" t="s">
        <v>347</v>
      </c>
      <c r="G35" s="45"/>
      <c r="H35" s="45"/>
      <c r="I35" s="79">
        <f>5548632568</f>
        <v>5548632568</v>
      </c>
      <c r="J35" s="57"/>
      <c r="K35" s="79">
        <v>7379571293</v>
      </c>
    </row>
    <row r="36" spans="1:11" ht="15">
      <c r="A36" s="54"/>
      <c r="B36" s="80"/>
      <c r="C36" s="81" t="s">
        <v>348</v>
      </c>
      <c r="D36" s="82"/>
      <c r="E36" s="82"/>
      <c r="F36" s="82"/>
      <c r="G36" s="82"/>
      <c r="H36" s="82"/>
      <c r="I36" s="79"/>
      <c r="J36" s="57"/>
      <c r="K36" s="79">
        <f>8371000</f>
        <v>8371000</v>
      </c>
    </row>
    <row r="37" spans="1:20" s="32" customFormat="1" ht="14.25">
      <c r="A37" s="54"/>
      <c r="C37" s="55" t="s">
        <v>349</v>
      </c>
      <c r="G37" s="45"/>
      <c r="H37" s="45"/>
      <c r="I37" s="79">
        <f>1166768796+46568531644</f>
        <v>47735300440</v>
      </c>
      <c r="J37" s="57"/>
      <c r="K37" s="79">
        <v>59412339443</v>
      </c>
      <c r="L37" s="40"/>
      <c r="S37" s="40"/>
      <c r="T37" s="40"/>
    </row>
    <row r="38" spans="1:20" s="32" customFormat="1" ht="15.75" thickBot="1">
      <c r="A38" s="42"/>
      <c r="B38" s="43"/>
      <c r="C38" s="44" t="s">
        <v>350</v>
      </c>
      <c r="G38" s="45"/>
      <c r="H38" s="45"/>
      <c r="I38" s="58">
        <f>I35+I36+I37</f>
        <v>53283933008</v>
      </c>
      <c r="J38" s="59"/>
      <c r="K38" s="58">
        <f>K35+K36+K37</f>
        <v>66800281736</v>
      </c>
      <c r="L38" s="40"/>
      <c r="S38" s="40">
        <f>I38-'BẢNG CÂN ĐỐI KẾ TOÁN'!D23</f>
        <v>0</v>
      </c>
      <c r="T38" s="40"/>
    </row>
    <row r="39" spans="1:20" s="32" customFormat="1" ht="15.75" thickTop="1">
      <c r="A39" s="42"/>
      <c r="B39" s="43"/>
      <c r="C39" s="44" t="s">
        <v>351</v>
      </c>
      <c r="G39" s="45"/>
      <c r="H39" s="45"/>
      <c r="I39" s="61"/>
      <c r="J39" s="76"/>
      <c r="K39" s="61"/>
      <c r="L39" s="40"/>
      <c r="S39" s="40"/>
      <c r="T39" s="40"/>
    </row>
    <row r="40" spans="1:20" s="32" customFormat="1" ht="15.75" thickBot="1">
      <c r="A40" s="42"/>
      <c r="B40" s="43"/>
      <c r="C40" s="44" t="s">
        <v>352</v>
      </c>
      <c r="G40" s="45"/>
      <c r="H40" s="45"/>
      <c r="I40" s="58">
        <f>I38-I39</f>
        <v>53283933008</v>
      </c>
      <c r="J40" s="59"/>
      <c r="K40" s="58">
        <f>K38-K39</f>
        <v>66800281736</v>
      </c>
      <c r="L40" s="40">
        <f>I40-'BẢNG CÂN ĐỐI KẾ TOÁN'!D23</f>
        <v>0</v>
      </c>
      <c r="S40" s="40">
        <f>I40-'BẢNG CÂN ĐỐI KẾ TOÁN'!D23</f>
        <v>0</v>
      </c>
      <c r="T40" s="40"/>
    </row>
    <row r="41" spans="1:20" s="32" customFormat="1" ht="15.75" thickTop="1">
      <c r="A41" s="42"/>
      <c r="B41" s="43"/>
      <c r="C41" s="44"/>
      <c r="G41" s="45"/>
      <c r="H41" s="45"/>
      <c r="I41" s="61"/>
      <c r="J41" s="59"/>
      <c r="K41" s="61"/>
      <c r="L41" s="40"/>
      <c r="S41" s="40"/>
      <c r="T41" s="40"/>
    </row>
    <row r="42" spans="1:20" s="32" customFormat="1" ht="15">
      <c r="A42" s="49">
        <v>6</v>
      </c>
      <c r="B42" s="43"/>
      <c r="C42" s="44" t="s">
        <v>353</v>
      </c>
      <c r="G42" s="45"/>
      <c r="H42" s="45"/>
      <c r="I42" s="50" t="s">
        <v>598</v>
      </c>
      <c r="J42" s="51"/>
      <c r="K42" s="50" t="s">
        <v>580</v>
      </c>
      <c r="L42" s="40"/>
      <c r="S42" s="40"/>
      <c r="T42" s="40"/>
    </row>
    <row r="43" spans="1:20" s="32" customFormat="1" ht="15">
      <c r="A43" s="42"/>
      <c r="B43" s="43"/>
      <c r="C43" s="44" t="s">
        <v>332</v>
      </c>
      <c r="G43" s="41"/>
      <c r="H43" s="45"/>
      <c r="I43" s="52" t="s">
        <v>333</v>
      </c>
      <c r="J43" s="53"/>
      <c r="K43" s="52" t="s">
        <v>333</v>
      </c>
      <c r="L43" s="40"/>
      <c r="S43" s="40"/>
      <c r="T43" s="40"/>
    </row>
    <row r="44" spans="1:20" s="32" customFormat="1" ht="14.25">
      <c r="A44" s="219"/>
      <c r="C44" s="55" t="s">
        <v>354</v>
      </c>
      <c r="G44" s="45"/>
      <c r="H44" s="45"/>
      <c r="I44" s="2">
        <v>320854839</v>
      </c>
      <c r="J44" s="6"/>
      <c r="K44" s="2">
        <v>93853710</v>
      </c>
      <c r="L44" s="40">
        <f>I44-'BẢNG CÂN ĐỐI KẾ TOÁN'!D27</f>
        <v>0</v>
      </c>
      <c r="S44" s="40"/>
      <c r="T44" s="40"/>
    </row>
    <row r="45" spans="1:20" s="32" customFormat="1" ht="14.25">
      <c r="A45" s="219"/>
      <c r="C45" s="55" t="s">
        <v>355</v>
      </c>
      <c r="G45" s="45"/>
      <c r="H45" s="45"/>
      <c r="I45" s="2">
        <v>1993868828</v>
      </c>
      <c r="J45" s="6"/>
      <c r="K45" s="2">
        <v>1707207896</v>
      </c>
      <c r="L45" s="40">
        <f>I45-'BẢNG CÂN ĐỐI KẾ TOÁN'!D28</f>
        <v>0</v>
      </c>
      <c r="S45" s="40">
        <f>I45-'BẢNG CÂN ĐỐI KẾ TOÁN'!D28</f>
        <v>0</v>
      </c>
      <c r="T45" s="40"/>
    </row>
    <row r="46" spans="1:20" s="32" customFormat="1" ht="16.5" customHeight="1">
      <c r="A46" s="219"/>
      <c r="C46" s="55" t="s">
        <v>356</v>
      </c>
      <c r="G46" s="45"/>
      <c r="H46" s="45"/>
      <c r="I46" s="79">
        <v>121634402</v>
      </c>
      <c r="J46" s="131"/>
      <c r="K46" s="79">
        <v>1742992672</v>
      </c>
      <c r="L46" s="40">
        <f>I46-'BẢNG CÂN ĐỐI KẾ TOÁN'!D29</f>
        <v>0</v>
      </c>
      <c r="S46" s="40"/>
      <c r="T46" s="40"/>
    </row>
    <row r="47" spans="1:13" ht="14.25">
      <c r="A47" s="54"/>
      <c r="B47" s="32"/>
      <c r="C47" s="55" t="s">
        <v>357</v>
      </c>
      <c r="G47" s="6"/>
      <c r="H47" s="6"/>
      <c r="I47" s="56">
        <f>19793497621</f>
        <v>19793497621</v>
      </c>
      <c r="J47" s="56"/>
      <c r="K47" s="56">
        <v>21883161305</v>
      </c>
      <c r="L47" s="2">
        <f>+I47+I48</f>
        <v>20807497621</v>
      </c>
      <c r="M47" s="280">
        <f>+L47-19786789708</f>
        <v>1020707913</v>
      </c>
    </row>
    <row r="48" spans="1:20" s="32" customFormat="1" ht="14.25">
      <c r="A48" s="219"/>
      <c r="C48" s="55" t="s">
        <v>358</v>
      </c>
      <c r="G48" s="45"/>
      <c r="H48" s="45"/>
      <c r="I48" s="79">
        <f>1002000000+12000000</f>
        <v>1014000000</v>
      </c>
      <c r="J48" s="79"/>
      <c r="K48" s="79">
        <f>1002000000+12000000</f>
        <v>1014000000</v>
      </c>
      <c r="L48" s="40"/>
      <c r="S48" s="40"/>
      <c r="T48" s="40"/>
    </row>
    <row r="49" spans="1:20" s="32" customFormat="1" ht="15.75" thickBot="1">
      <c r="A49" s="42"/>
      <c r="B49" s="43"/>
      <c r="C49" s="44" t="s">
        <v>336</v>
      </c>
      <c r="G49" s="45"/>
      <c r="H49" s="45"/>
      <c r="I49" s="58">
        <f>SUM(I44:I48)</f>
        <v>23243855690</v>
      </c>
      <c r="J49" s="59"/>
      <c r="K49" s="58">
        <f>K48+K47+K46+K45+K44</f>
        <v>26441215583</v>
      </c>
      <c r="L49" s="40">
        <f>I49-'BẢNG CÂN ĐỐI KẾ TOÁN'!D26</f>
        <v>0</v>
      </c>
      <c r="N49" s="278">
        <f>I49+1718445419</f>
        <v>24962301109</v>
      </c>
      <c r="S49" s="40">
        <f>I49-'BẢNG CÂN ĐỐI KẾ TOÁN'!D26</f>
        <v>0</v>
      </c>
      <c r="T49" s="40">
        <f>K49-'BẢNG CÂN ĐỐI KẾ TOÁN'!E26</f>
        <v>0</v>
      </c>
    </row>
    <row r="50" spans="1:20" s="32" customFormat="1" ht="15.75" thickTop="1">
      <c r="A50" s="42"/>
      <c r="B50" s="43"/>
      <c r="C50" s="44"/>
      <c r="G50" s="45"/>
      <c r="H50" s="45"/>
      <c r="I50" s="61"/>
      <c r="J50" s="59"/>
      <c r="K50" s="61"/>
      <c r="L50" s="40"/>
      <c r="N50" s="278"/>
      <c r="S50" s="40"/>
      <c r="T50" s="40"/>
    </row>
    <row r="51" spans="1:20" s="32" customFormat="1" ht="15">
      <c r="A51" s="42"/>
      <c r="B51" s="43"/>
      <c r="C51" s="44"/>
      <c r="G51" s="45"/>
      <c r="H51" s="45"/>
      <c r="I51" s="61"/>
      <c r="J51" s="59"/>
      <c r="K51" s="61"/>
      <c r="L51" s="40"/>
      <c r="N51" s="278"/>
      <c r="S51" s="40"/>
      <c r="T51" s="40"/>
    </row>
    <row r="52" spans="1:20" s="32" customFormat="1" ht="15">
      <c r="A52" s="42"/>
      <c r="B52" s="43"/>
      <c r="C52" s="44"/>
      <c r="G52" s="45"/>
      <c r="H52" s="45"/>
      <c r="I52" s="61"/>
      <c r="J52" s="59"/>
      <c r="K52" s="61"/>
      <c r="L52" s="40"/>
      <c r="N52" s="278"/>
      <c r="S52" s="40"/>
      <c r="T52" s="40"/>
    </row>
    <row r="53" spans="1:20" s="32" customFormat="1" ht="15">
      <c r="A53" s="42"/>
      <c r="B53" s="43"/>
      <c r="C53" s="44"/>
      <c r="G53" s="45"/>
      <c r="H53" s="45"/>
      <c r="I53" s="61"/>
      <c r="J53" s="59"/>
      <c r="K53" s="61"/>
      <c r="L53" s="40"/>
      <c r="N53" s="278"/>
      <c r="S53" s="40"/>
      <c r="T53" s="40"/>
    </row>
    <row r="54" spans="1:20" s="32" customFormat="1" ht="15">
      <c r="A54" s="42">
        <v>7</v>
      </c>
      <c r="B54" s="43"/>
      <c r="C54" s="356" t="s">
        <v>359</v>
      </c>
      <c r="D54" s="356"/>
      <c r="E54" s="356"/>
      <c r="G54" s="45"/>
      <c r="H54" s="45"/>
      <c r="I54" s="46"/>
      <c r="J54" s="45"/>
      <c r="K54" s="47"/>
      <c r="L54" s="40"/>
      <c r="N54" s="278" t="e">
        <f>#REF!-24679794296</f>
        <v>#REF!</v>
      </c>
      <c r="S54" s="40"/>
      <c r="T54" s="40"/>
    </row>
    <row r="55" spans="1:20" s="32" customFormat="1" ht="15">
      <c r="A55" s="42"/>
      <c r="B55" s="43"/>
      <c r="C55" s="44" t="s">
        <v>332</v>
      </c>
      <c r="D55" s="42"/>
      <c r="E55" s="42"/>
      <c r="G55" s="45"/>
      <c r="H55" s="45"/>
      <c r="I55" s="46"/>
      <c r="J55" s="45"/>
      <c r="K55" s="47"/>
      <c r="L55" s="40"/>
      <c r="S55" s="40"/>
      <c r="T55" s="40"/>
    </row>
    <row r="56" spans="1:20" ht="28.5">
      <c r="A56" s="54"/>
      <c r="B56" s="32"/>
      <c r="C56" s="86" t="s">
        <v>360</v>
      </c>
      <c r="E56" s="86" t="s">
        <v>361</v>
      </c>
      <c r="F56" s="87"/>
      <c r="G56" s="86" t="s">
        <v>362</v>
      </c>
      <c r="H56" s="45"/>
      <c r="I56" s="86" t="s">
        <v>363</v>
      </c>
      <c r="J56" s="45"/>
      <c r="K56" s="88" t="s">
        <v>336</v>
      </c>
      <c r="L56" s="6"/>
      <c r="T56" s="2">
        <f>75379592628-74826758512</f>
        <v>552834116</v>
      </c>
    </row>
    <row r="57" spans="1:20" s="33" customFormat="1" ht="15">
      <c r="A57" s="42"/>
      <c r="B57" s="43"/>
      <c r="C57" s="48" t="s">
        <v>364</v>
      </c>
      <c r="D57" s="43"/>
      <c r="E57" s="43"/>
      <c r="F57" s="43"/>
      <c r="G57" s="68"/>
      <c r="H57" s="68"/>
      <c r="I57" s="89"/>
      <c r="J57" s="68"/>
      <c r="K57" s="90"/>
      <c r="S57" s="65"/>
      <c r="T57" s="65">
        <f>70257177338-70810011454</f>
        <v>-552834116</v>
      </c>
    </row>
    <row r="58" spans="1:12" ht="15">
      <c r="A58" s="70"/>
      <c r="C58" s="91" t="s">
        <v>581</v>
      </c>
      <c r="D58" s="92"/>
      <c r="E58" s="73">
        <v>36264004261</v>
      </c>
      <c r="F58" s="93"/>
      <c r="G58" s="73">
        <v>38085502701</v>
      </c>
      <c r="H58" s="73">
        <v>0</v>
      </c>
      <c r="I58" s="73">
        <v>1030085666</v>
      </c>
      <c r="J58" s="73">
        <v>0</v>
      </c>
      <c r="K58" s="73">
        <f>SUM(E58:J58)</f>
        <v>75379592628</v>
      </c>
      <c r="L58" s="306">
        <f>K58-'BẢNG CÂN ĐỐI KẾ TOÁN'!E40</f>
        <v>0</v>
      </c>
    </row>
    <row r="59" spans="1:12" ht="15">
      <c r="A59" s="70"/>
      <c r="C59" s="91" t="s">
        <v>365</v>
      </c>
      <c r="D59" s="92"/>
      <c r="E59" s="73">
        <f>23636364</f>
        <v>23636364</v>
      </c>
      <c r="F59" s="93"/>
      <c r="G59" s="73"/>
      <c r="H59" s="94"/>
      <c r="I59" s="95">
        <f>63436363+18636364</f>
        <v>82072727</v>
      </c>
      <c r="J59" s="96"/>
      <c r="K59" s="97">
        <f>SUM(E59:J59)</f>
        <v>105709091</v>
      </c>
      <c r="L59" s="6"/>
    </row>
    <row r="60" spans="1:12" ht="15">
      <c r="A60" s="70"/>
      <c r="C60" s="98" t="s">
        <v>366</v>
      </c>
      <c r="D60" s="98"/>
      <c r="E60" s="73"/>
      <c r="F60" s="93"/>
      <c r="G60" s="73">
        <f>576470480+754151021-9000000</f>
        <v>1321621501</v>
      </c>
      <c r="H60" s="94"/>
      <c r="I60" s="73"/>
      <c r="J60" s="96"/>
      <c r="K60" s="97">
        <f>SUM(E60:J60)</f>
        <v>1321621501</v>
      </c>
      <c r="L60" s="6"/>
    </row>
    <row r="61" spans="1:19" ht="15">
      <c r="A61" s="70"/>
      <c r="C61" s="91" t="s">
        <v>601</v>
      </c>
      <c r="D61" s="92"/>
      <c r="E61" s="73">
        <f>E58+E59-E60</f>
        <v>36287640625</v>
      </c>
      <c r="F61" s="93"/>
      <c r="G61" s="73">
        <f>G58+G59-G60</f>
        <v>36763881200</v>
      </c>
      <c r="H61" s="73">
        <f>H58+H59-H60</f>
        <v>0</v>
      </c>
      <c r="I61" s="73">
        <f>I58+I59-I60</f>
        <v>1112158393</v>
      </c>
      <c r="J61" s="73">
        <f>J58+J59-J60</f>
        <v>0</v>
      </c>
      <c r="K61" s="73">
        <f>K58+K59-K60</f>
        <v>74163680218</v>
      </c>
      <c r="L61" s="306">
        <f>K61-'BẢNG CÂN ĐỐI KẾ TOÁN'!D40</f>
        <v>0</v>
      </c>
      <c r="S61" s="2">
        <f>K61-'BẢNG CÂN ĐỐI KẾ TOÁN'!D40</f>
        <v>0</v>
      </c>
    </row>
    <row r="62" spans="1:20" s="33" customFormat="1" ht="15">
      <c r="A62" s="42"/>
      <c r="B62" s="43"/>
      <c r="C62" s="99" t="s">
        <v>367</v>
      </c>
      <c r="D62" s="100"/>
      <c r="E62" s="100"/>
      <c r="F62" s="100"/>
      <c r="G62" s="101"/>
      <c r="H62" s="101"/>
      <c r="I62" s="102"/>
      <c r="J62" s="101"/>
      <c r="K62" s="103"/>
      <c r="S62" s="65"/>
      <c r="T62" s="65"/>
    </row>
    <row r="63" spans="1:12" ht="15">
      <c r="A63" s="54"/>
      <c r="C63" s="91" t="s">
        <v>581</v>
      </c>
      <c r="D63" s="92"/>
      <c r="E63" s="73">
        <v>24478656919</v>
      </c>
      <c r="F63" s="74"/>
      <c r="G63" s="73">
        <v>26537938191</v>
      </c>
      <c r="H63" s="73">
        <v>0</v>
      </c>
      <c r="I63" s="73">
        <v>890036946</v>
      </c>
      <c r="J63" s="73">
        <v>0</v>
      </c>
      <c r="K63" s="104">
        <f>SUM(E63:J63)</f>
        <v>51906632056</v>
      </c>
      <c r="L63" s="6"/>
    </row>
    <row r="64" spans="1:12" ht="15">
      <c r="A64" s="54"/>
      <c r="C64" s="91" t="s">
        <v>365</v>
      </c>
      <c r="D64" s="92"/>
      <c r="E64" s="73">
        <f>2165442693+43988958</f>
        <v>2209431651</v>
      </c>
      <c r="F64" s="93"/>
      <c r="G64" s="73">
        <f>27732880+2310022304</f>
        <v>2337755184</v>
      </c>
      <c r="H64" s="105"/>
      <c r="I64" s="95">
        <f>29696518+27732880</f>
        <v>57429398</v>
      </c>
      <c r="J64" s="96"/>
      <c r="K64" s="104">
        <f>SUM(E64:J64)</f>
        <v>4604616233</v>
      </c>
      <c r="L64" s="6"/>
    </row>
    <row r="65" spans="1:12" ht="15">
      <c r="A65" s="54"/>
      <c r="C65" s="98" t="s">
        <v>366</v>
      </c>
      <c r="D65" s="98"/>
      <c r="E65" s="73"/>
      <c r="F65" s="93"/>
      <c r="G65" s="73">
        <f>571352197+650536084</f>
        <v>1221888281</v>
      </c>
      <c r="H65" s="105"/>
      <c r="I65" s="95"/>
      <c r="J65" s="96"/>
      <c r="K65" s="104">
        <f>SUM(E65:J65)</f>
        <v>1221888281</v>
      </c>
      <c r="L65" s="6"/>
    </row>
    <row r="66" spans="1:19" ht="15">
      <c r="A66" s="54"/>
      <c r="C66" s="91" t="s">
        <v>601</v>
      </c>
      <c r="D66" s="92"/>
      <c r="E66" s="104">
        <f>E63+E64-E65</f>
        <v>26688088570</v>
      </c>
      <c r="F66" s="74"/>
      <c r="G66" s="104">
        <f>G63+G64-G65</f>
        <v>27653805094</v>
      </c>
      <c r="H66" s="104">
        <f>H63+H64-H65</f>
        <v>0</v>
      </c>
      <c r="I66" s="104">
        <f>I63+I64-I65</f>
        <v>947466344</v>
      </c>
      <c r="J66" s="104">
        <f>J63+J64-J65</f>
        <v>0</v>
      </c>
      <c r="K66" s="104">
        <f>K63+K64-K65</f>
        <v>55289360008</v>
      </c>
      <c r="L66" s="6"/>
      <c r="S66" s="2">
        <f>K66+'BẢNG CÂN ĐỐI KẾ TOÁN'!D41</f>
        <v>0</v>
      </c>
    </row>
    <row r="67" spans="1:20" s="110" customFormat="1" ht="12">
      <c r="A67" s="106"/>
      <c r="B67" s="100"/>
      <c r="C67" s="99" t="s">
        <v>368</v>
      </c>
      <c r="D67" s="100"/>
      <c r="E67" s="100"/>
      <c r="F67" s="100"/>
      <c r="G67" s="101"/>
      <c r="H67" s="101"/>
      <c r="I67" s="107"/>
      <c r="J67" s="108"/>
      <c r="K67" s="109"/>
      <c r="S67" s="308"/>
      <c r="T67" s="308"/>
    </row>
    <row r="68" spans="1:20" s="110" customFormat="1" ht="12">
      <c r="A68" s="111"/>
      <c r="B68" s="100"/>
      <c r="C68" s="99" t="s">
        <v>582</v>
      </c>
      <c r="D68" s="100"/>
      <c r="E68" s="73">
        <f>E58-E63</f>
        <v>11785347342</v>
      </c>
      <c r="F68" s="74"/>
      <c r="G68" s="73">
        <f>G58-G63</f>
        <v>11547564510</v>
      </c>
      <c r="H68" s="73">
        <f>H58-H63</f>
        <v>0</v>
      </c>
      <c r="I68" s="73">
        <f>I58-I63</f>
        <v>140048720</v>
      </c>
      <c r="J68" s="73">
        <f>J58-J63</f>
        <v>0</v>
      </c>
      <c r="K68" s="73">
        <f>K58-K63</f>
        <v>23472960572</v>
      </c>
      <c r="S68" s="308">
        <f>K68-'BẢNG CÂN ĐỐI KẾ TOÁN'!E39</f>
        <v>0</v>
      </c>
      <c r="T68" s="308"/>
    </row>
    <row r="69" spans="1:20" s="110" customFormat="1" ht="12">
      <c r="A69" s="111"/>
      <c r="B69" s="100"/>
      <c r="C69" s="99" t="s">
        <v>602</v>
      </c>
      <c r="D69" s="100"/>
      <c r="E69" s="73">
        <f>E61-E66</f>
        <v>9599552055</v>
      </c>
      <c r="F69" s="74"/>
      <c r="G69" s="73">
        <f>G61-G66</f>
        <v>9110076106</v>
      </c>
      <c r="H69" s="73">
        <f>H61-H66</f>
        <v>0</v>
      </c>
      <c r="I69" s="73">
        <f>I61-I66</f>
        <v>164692049</v>
      </c>
      <c r="J69" s="73">
        <f>J61-J66</f>
        <v>0</v>
      </c>
      <c r="K69" s="73">
        <f>K61-K66</f>
        <v>18874320210</v>
      </c>
      <c r="S69" s="308">
        <f>K69-'BẢNG CÂN ĐỐI KẾ TOÁN'!D39</f>
        <v>0</v>
      </c>
      <c r="T69" s="308"/>
    </row>
    <row r="70" spans="1:20" s="32" customFormat="1" ht="15">
      <c r="A70" s="42"/>
      <c r="B70" s="43"/>
      <c r="C70" s="44"/>
      <c r="G70" s="45"/>
      <c r="H70" s="45"/>
      <c r="I70" s="61"/>
      <c r="J70" s="59"/>
      <c r="K70" s="61"/>
      <c r="S70" s="40"/>
      <c r="T70" s="40"/>
    </row>
    <row r="71" spans="1:12" ht="15">
      <c r="A71" s="42">
        <v>8</v>
      </c>
      <c r="C71" s="356" t="s">
        <v>369</v>
      </c>
      <c r="D71" s="356"/>
      <c r="E71" s="356"/>
      <c r="G71" s="45"/>
      <c r="H71" s="45"/>
      <c r="I71" s="46"/>
      <c r="J71" s="45"/>
      <c r="K71" s="47"/>
      <c r="L71" s="6"/>
    </row>
    <row r="72" spans="3:12" ht="15">
      <c r="C72" s="44" t="s">
        <v>332</v>
      </c>
      <c r="G72" s="45"/>
      <c r="H72" s="45"/>
      <c r="I72" s="46"/>
      <c r="J72" s="45"/>
      <c r="K72" s="47"/>
      <c r="L72" s="6"/>
    </row>
    <row r="73" spans="1:12" ht="28.5">
      <c r="A73" s="54"/>
      <c r="B73" s="32"/>
      <c r="C73" s="112" t="s">
        <v>360</v>
      </c>
      <c r="E73" s="112" t="s">
        <v>370</v>
      </c>
      <c r="F73" s="112"/>
      <c r="G73" s="112" t="s">
        <v>371</v>
      </c>
      <c r="H73" s="45"/>
      <c r="I73" s="112" t="s">
        <v>372</v>
      </c>
      <c r="J73" s="45"/>
      <c r="K73" s="88" t="s">
        <v>336</v>
      </c>
      <c r="L73" s="6"/>
    </row>
    <row r="74" spans="1:20" s="33" customFormat="1" ht="15">
      <c r="A74" s="42"/>
      <c r="B74" s="43"/>
      <c r="C74" s="48" t="s">
        <v>364</v>
      </c>
      <c r="D74" s="43"/>
      <c r="E74" s="43"/>
      <c r="F74" s="43"/>
      <c r="G74" s="68"/>
      <c r="H74" s="68"/>
      <c r="I74" s="89"/>
      <c r="J74" s="68"/>
      <c r="K74" s="90"/>
      <c r="S74" s="65"/>
      <c r="T74" s="65"/>
    </row>
    <row r="75" spans="1:12" ht="15">
      <c r="A75" s="70"/>
      <c r="C75" s="113" t="s">
        <v>581</v>
      </c>
      <c r="G75" s="45"/>
      <c r="H75" s="45"/>
      <c r="I75" s="114">
        <v>367425000</v>
      </c>
      <c r="J75" s="45"/>
      <c r="K75" s="114">
        <f>I75</f>
        <v>367425000</v>
      </c>
      <c r="L75" s="6"/>
    </row>
    <row r="76" spans="1:12" ht="15">
      <c r="A76" s="70"/>
      <c r="C76" s="113" t="s">
        <v>365</v>
      </c>
      <c r="G76" s="45"/>
      <c r="H76" s="45"/>
      <c r="I76" s="62"/>
      <c r="J76" s="83"/>
      <c r="K76" s="62">
        <f>SUM(I76:J76)</f>
        <v>0</v>
      </c>
      <c r="L76" s="6"/>
    </row>
    <row r="77" spans="1:12" ht="15">
      <c r="A77" s="70"/>
      <c r="C77" s="357" t="s">
        <v>366</v>
      </c>
      <c r="D77" s="357"/>
      <c r="E77" s="357"/>
      <c r="G77" s="45"/>
      <c r="H77" s="45"/>
      <c r="I77" s="114"/>
      <c r="J77" s="45"/>
      <c r="K77" s="114"/>
      <c r="L77" s="6"/>
    </row>
    <row r="78" spans="1:12" ht="15">
      <c r="A78" s="70"/>
      <c r="C78" s="113" t="s">
        <v>590</v>
      </c>
      <c r="G78" s="45"/>
      <c r="H78" s="45"/>
      <c r="I78" s="56">
        <f>I75-I76</f>
        <v>367425000</v>
      </c>
      <c r="J78" s="57">
        <v>0</v>
      </c>
      <c r="K78" s="56">
        <f>K75-K76</f>
        <v>367425000</v>
      </c>
      <c r="L78" s="6"/>
    </row>
    <row r="79" spans="1:20" s="33" customFormat="1" ht="15">
      <c r="A79" s="42"/>
      <c r="B79" s="43"/>
      <c r="C79" s="48" t="s">
        <v>367</v>
      </c>
      <c r="D79" s="43"/>
      <c r="E79" s="43"/>
      <c r="F79" s="43"/>
      <c r="G79" s="68"/>
      <c r="H79" s="68"/>
      <c r="I79" s="89"/>
      <c r="J79" s="68"/>
      <c r="K79" s="90"/>
      <c r="S79" s="65"/>
      <c r="T79" s="65"/>
    </row>
    <row r="80" spans="1:12" ht="15">
      <c r="A80" s="54"/>
      <c r="C80" s="113" t="s">
        <v>581</v>
      </c>
      <c r="G80" s="45"/>
      <c r="H80" s="45"/>
      <c r="I80" s="114">
        <v>129926149</v>
      </c>
      <c r="J80" s="45"/>
      <c r="K80" s="114">
        <f>SUM(I80:J80)</f>
        <v>129926149</v>
      </c>
      <c r="L80" s="6"/>
    </row>
    <row r="81" spans="1:12" ht="15">
      <c r="A81" s="54"/>
      <c r="C81" s="113" t="s">
        <v>365</v>
      </c>
      <c r="G81" s="45"/>
      <c r="H81" s="45"/>
      <c r="I81" s="62">
        <f>12910416+12910416+12910416</f>
        <v>38731248</v>
      </c>
      <c r="J81" s="83"/>
      <c r="K81" s="114">
        <f>SUM(I81:J81)</f>
        <v>38731248</v>
      </c>
      <c r="L81" s="6"/>
    </row>
    <row r="82" spans="1:12" ht="15">
      <c r="A82" s="54"/>
      <c r="C82" s="357" t="s">
        <v>366</v>
      </c>
      <c r="D82" s="357"/>
      <c r="E82" s="357"/>
      <c r="G82" s="45"/>
      <c r="H82" s="45"/>
      <c r="I82" s="62"/>
      <c r="J82" s="83"/>
      <c r="K82" s="62"/>
      <c r="L82" s="6"/>
    </row>
    <row r="83" spans="1:19" ht="15">
      <c r="A83" s="54"/>
      <c r="C83" s="113" t="s">
        <v>590</v>
      </c>
      <c r="G83" s="45"/>
      <c r="H83" s="45"/>
      <c r="I83" s="56">
        <f>I80+I81-I82</f>
        <v>168657397</v>
      </c>
      <c r="J83" s="118"/>
      <c r="K83" s="56">
        <f>K80+K81-K82</f>
        <v>168657397</v>
      </c>
      <c r="L83" s="6"/>
      <c r="S83" s="2">
        <f>K83+'BẢNG CÂN ĐỐI KẾ TOÁN'!D47</f>
        <v>0</v>
      </c>
    </row>
    <row r="84" spans="1:20" s="33" customFormat="1" ht="15">
      <c r="A84" s="42"/>
      <c r="B84" s="43"/>
      <c r="C84" s="48" t="s">
        <v>368</v>
      </c>
      <c r="D84" s="43"/>
      <c r="E84" s="43"/>
      <c r="F84" s="43"/>
      <c r="G84" s="68"/>
      <c r="H84" s="68"/>
      <c r="I84" s="119"/>
      <c r="J84" s="120"/>
      <c r="K84" s="121"/>
      <c r="S84" s="65"/>
      <c r="T84" s="65"/>
    </row>
    <row r="85" spans="1:20" s="33" customFormat="1" ht="15">
      <c r="A85" s="42"/>
      <c r="B85" s="43"/>
      <c r="C85" s="48" t="s">
        <v>582</v>
      </c>
      <c r="D85" s="43"/>
      <c r="E85" s="43"/>
      <c r="F85" s="43"/>
      <c r="G85" s="122"/>
      <c r="H85" s="68"/>
      <c r="I85" s="56">
        <f>I75-I80</f>
        <v>237498851</v>
      </c>
      <c r="J85" s="118"/>
      <c r="K85" s="56">
        <f>K75-K80</f>
        <v>237498851</v>
      </c>
      <c r="S85" s="65"/>
      <c r="T85" s="65"/>
    </row>
    <row r="86" spans="1:20" s="33" customFormat="1" ht="15">
      <c r="A86" s="42"/>
      <c r="B86" s="43"/>
      <c r="C86" s="48" t="s">
        <v>591</v>
      </c>
      <c r="D86" s="43"/>
      <c r="E86" s="43"/>
      <c r="F86" s="43"/>
      <c r="G86" s="68"/>
      <c r="H86" s="68"/>
      <c r="I86" s="56">
        <f>I78-I83</f>
        <v>198767603</v>
      </c>
      <c r="J86" s="118"/>
      <c r="K86" s="56">
        <f>K78-K83</f>
        <v>198767603</v>
      </c>
      <c r="S86" s="65"/>
      <c r="T86" s="65"/>
    </row>
    <row r="87" spans="1:20" s="33" customFormat="1" ht="15">
      <c r="A87" s="42"/>
      <c r="B87" s="43"/>
      <c r="C87" s="48"/>
      <c r="D87" s="43"/>
      <c r="E87" s="43"/>
      <c r="F87" s="43"/>
      <c r="G87" s="68"/>
      <c r="H87" s="68"/>
      <c r="I87" s="56"/>
      <c r="J87" s="118"/>
      <c r="K87" s="56"/>
      <c r="S87" s="65"/>
      <c r="T87" s="65"/>
    </row>
    <row r="88" spans="1:11" ht="15">
      <c r="A88" s="42">
        <v>9</v>
      </c>
      <c r="C88" s="44" t="s">
        <v>375</v>
      </c>
      <c r="G88" s="45"/>
      <c r="H88" s="45"/>
      <c r="I88" s="50" t="s">
        <v>598</v>
      </c>
      <c r="J88" s="51"/>
      <c r="K88" s="50" t="s">
        <v>580</v>
      </c>
    </row>
    <row r="89" spans="3:11" ht="15">
      <c r="C89" s="44"/>
      <c r="G89" s="45"/>
      <c r="H89" s="45"/>
      <c r="I89" s="52" t="s">
        <v>333</v>
      </c>
      <c r="J89" s="53"/>
      <c r="K89" s="52" t="s">
        <v>333</v>
      </c>
    </row>
    <row r="90" spans="1:20" s="75" customFormat="1" ht="15">
      <c r="A90" s="70"/>
      <c r="B90" s="71"/>
      <c r="C90" s="44" t="s">
        <v>332</v>
      </c>
      <c r="D90" s="71"/>
      <c r="E90" s="73"/>
      <c r="F90" s="74"/>
      <c r="G90" s="73"/>
      <c r="H90" s="73"/>
      <c r="I90" s="79"/>
      <c r="J90" s="59"/>
      <c r="K90" s="79"/>
      <c r="L90" s="299"/>
      <c r="S90" s="299"/>
      <c r="T90" s="299"/>
    </row>
    <row r="91" spans="1:20" s="75" customFormat="1" ht="15">
      <c r="A91" s="70"/>
      <c r="B91" s="71"/>
      <c r="C91" s="123" t="s">
        <v>376</v>
      </c>
      <c r="D91" s="71"/>
      <c r="E91" s="73"/>
      <c r="F91" s="74"/>
      <c r="G91" s="73"/>
      <c r="H91" s="73"/>
      <c r="I91" s="79"/>
      <c r="J91" s="59"/>
      <c r="K91" s="62"/>
      <c r="L91" s="299"/>
      <c r="S91" s="299"/>
      <c r="T91" s="299"/>
    </row>
    <row r="92" spans="1:20" s="75" customFormat="1" ht="15">
      <c r="A92" s="70"/>
      <c r="B92" s="71"/>
      <c r="C92" s="123" t="s">
        <v>377</v>
      </c>
      <c r="D92" s="71"/>
      <c r="E92" s="73"/>
      <c r="F92" s="74"/>
      <c r="G92" s="73"/>
      <c r="H92" s="73"/>
      <c r="I92" s="124">
        <f>SUM(I93:I98)</f>
        <v>40438288705</v>
      </c>
      <c r="J92" s="59"/>
      <c r="K92" s="124">
        <f>SUM(K93:K98)</f>
        <v>41416179024</v>
      </c>
      <c r="L92" s="299"/>
      <c r="S92" s="299"/>
      <c r="T92" s="299"/>
    </row>
    <row r="93" spans="1:20" s="75" customFormat="1" ht="15">
      <c r="A93" s="70"/>
      <c r="B93" s="71"/>
      <c r="C93" s="125" t="s">
        <v>378</v>
      </c>
      <c r="D93" s="71"/>
      <c r="E93" s="73"/>
      <c r="F93" s="74"/>
      <c r="G93" s="73"/>
      <c r="H93" s="73"/>
      <c r="I93" s="124">
        <v>2985243556</v>
      </c>
      <c r="J93" s="59"/>
      <c r="K93" s="124">
        <v>2985243556</v>
      </c>
      <c r="L93" s="299"/>
      <c r="S93" s="299"/>
      <c r="T93" s="299"/>
    </row>
    <row r="94" spans="1:20" s="75" customFormat="1" ht="15">
      <c r="A94" s="70"/>
      <c r="B94" s="71"/>
      <c r="C94" s="125" t="s">
        <v>379</v>
      </c>
      <c r="D94" s="71"/>
      <c r="E94" s="73"/>
      <c r="F94" s="74"/>
      <c r="G94" s="73"/>
      <c r="H94" s="73"/>
      <c r="I94" s="124">
        <f>7406469786</f>
        <v>7406469786</v>
      </c>
      <c r="J94" s="59"/>
      <c r="K94" s="124">
        <f>6759810156</f>
        <v>6759810156</v>
      </c>
      <c r="L94" s="299"/>
      <c r="S94" s="299"/>
      <c r="T94" s="299"/>
    </row>
    <row r="95" spans="1:20" s="75" customFormat="1" ht="15">
      <c r="A95" s="70"/>
      <c r="B95" s="71"/>
      <c r="C95" s="125" t="s">
        <v>380</v>
      </c>
      <c r="D95" s="71"/>
      <c r="E95" s="73"/>
      <c r="F95" s="74"/>
      <c r="G95" s="73"/>
      <c r="H95" s="73"/>
      <c r="I95" s="124">
        <f>24021235500</f>
        <v>24021235500</v>
      </c>
      <c r="J95" s="59"/>
      <c r="K95" s="124">
        <f>24021235500</f>
        <v>24021235500</v>
      </c>
      <c r="L95" s="299"/>
      <c r="S95" s="299"/>
      <c r="T95" s="299"/>
    </row>
    <row r="96" spans="1:20" s="75" customFormat="1" ht="15">
      <c r="A96" s="70"/>
      <c r="B96" s="71"/>
      <c r="C96" s="125" t="s">
        <v>381</v>
      </c>
      <c r="D96" s="71"/>
      <c r="E96" s="73"/>
      <c r="F96" s="74"/>
      <c r="G96" s="73"/>
      <c r="H96" s="73"/>
      <c r="I96" s="124">
        <v>4038039590</v>
      </c>
      <c r="J96" s="59"/>
      <c r="K96" s="124">
        <v>4038039590</v>
      </c>
      <c r="L96" s="299"/>
      <c r="S96" s="299"/>
      <c r="T96" s="299"/>
    </row>
    <row r="97" spans="1:20" s="75" customFormat="1" ht="15">
      <c r="A97" s="70"/>
      <c r="B97" s="71"/>
      <c r="C97" s="125" t="s">
        <v>24</v>
      </c>
      <c r="D97" s="71"/>
      <c r="E97" s="73"/>
      <c r="F97" s="74"/>
      <c r="G97" s="73"/>
      <c r="H97" s="73"/>
      <c r="I97" s="79">
        <f>1957835273</f>
        <v>1957835273</v>
      </c>
      <c r="J97" s="59"/>
      <c r="K97" s="79">
        <f>1699814818+1882570404</f>
        <v>3582385222</v>
      </c>
      <c r="L97" s="299"/>
      <c r="S97" s="299"/>
      <c r="T97" s="299"/>
    </row>
    <row r="98" spans="1:20" s="75" customFormat="1" ht="15">
      <c r="A98" s="70"/>
      <c r="B98" s="71"/>
      <c r="C98" s="125" t="s">
        <v>382</v>
      </c>
      <c r="D98" s="71"/>
      <c r="E98" s="73"/>
      <c r="F98" s="74"/>
      <c r="G98" s="73"/>
      <c r="H98" s="73"/>
      <c r="I98" s="79">
        <v>29465000</v>
      </c>
      <c r="J98" s="59"/>
      <c r="K98" s="79">
        <v>29465000</v>
      </c>
      <c r="L98" s="299"/>
      <c r="S98" s="299"/>
      <c r="T98" s="299"/>
    </row>
    <row r="99" spans="1:20" s="75" customFormat="1" ht="15">
      <c r="A99" s="70"/>
      <c r="B99" s="71"/>
      <c r="C99" s="123" t="s">
        <v>383</v>
      </c>
      <c r="D99" s="71"/>
      <c r="E99" s="73"/>
      <c r="F99" s="74"/>
      <c r="G99" s="73"/>
      <c r="H99" s="73"/>
      <c r="I99" s="324">
        <f>1713652453</f>
        <v>1713652453</v>
      </c>
      <c r="J99" s="59"/>
      <c r="K99" s="124"/>
      <c r="L99" s="299"/>
      <c r="S99" s="299"/>
      <c r="T99" s="299"/>
    </row>
    <row r="100" spans="1:20" s="32" customFormat="1" ht="15.75" thickBot="1">
      <c r="A100" s="42"/>
      <c r="B100" s="43"/>
      <c r="C100" s="44" t="s">
        <v>336</v>
      </c>
      <c r="G100" s="45"/>
      <c r="H100" s="45"/>
      <c r="I100" s="126">
        <f>I92+I91+I99</f>
        <v>42151941158</v>
      </c>
      <c r="J100" s="59"/>
      <c r="K100" s="126">
        <f>K92+K91+K99</f>
        <v>41416179024</v>
      </c>
      <c r="L100" s="40">
        <f>I100-'BẢNG CÂN ĐỐI KẾ TOÁN'!D48</f>
        <v>0</v>
      </c>
      <c r="S100" s="40">
        <f>I100-'BẢNG CÂN ĐỐI KẾ TOÁN'!D48</f>
        <v>0</v>
      </c>
      <c r="T100" s="40">
        <f>K100-'BẢNG CÂN ĐỐI KẾ TOÁN'!E48</f>
        <v>0</v>
      </c>
    </row>
    <row r="101" spans="1:20" s="67" customFormat="1" ht="15.75" thickTop="1">
      <c r="A101" s="70"/>
      <c r="B101" s="84"/>
      <c r="C101" s="72"/>
      <c r="D101" s="84"/>
      <c r="E101" s="73"/>
      <c r="F101" s="74"/>
      <c r="G101" s="73"/>
      <c r="H101" s="73"/>
      <c r="I101" s="73"/>
      <c r="J101" s="73"/>
      <c r="K101" s="73"/>
      <c r="L101" s="297"/>
      <c r="S101" s="297"/>
      <c r="T101" s="297"/>
    </row>
    <row r="102" spans="1:20" s="67" customFormat="1" ht="15">
      <c r="A102" s="70"/>
      <c r="B102" s="84"/>
      <c r="C102" s="72"/>
      <c r="D102" s="84"/>
      <c r="E102" s="73"/>
      <c r="F102" s="74"/>
      <c r="G102" s="73"/>
      <c r="H102" s="73"/>
      <c r="I102" s="73"/>
      <c r="J102" s="73"/>
      <c r="K102" s="73"/>
      <c r="L102" s="297"/>
      <c r="S102" s="297"/>
      <c r="T102" s="297"/>
    </row>
    <row r="103" spans="1:20" s="67" customFormat="1" ht="15">
      <c r="A103" s="70"/>
      <c r="B103" s="84"/>
      <c r="C103" s="72"/>
      <c r="D103" s="84"/>
      <c r="E103" s="73"/>
      <c r="F103" s="74"/>
      <c r="G103" s="73"/>
      <c r="H103" s="73"/>
      <c r="I103" s="73"/>
      <c r="J103" s="73"/>
      <c r="K103" s="73"/>
      <c r="L103" s="297"/>
      <c r="S103" s="297"/>
      <c r="T103" s="297"/>
    </row>
    <row r="104" spans="1:20" s="67" customFormat="1" ht="15">
      <c r="A104" s="70"/>
      <c r="B104" s="84"/>
      <c r="C104" s="72"/>
      <c r="D104" s="84"/>
      <c r="E104" s="73"/>
      <c r="F104" s="74"/>
      <c r="G104" s="73"/>
      <c r="H104" s="73"/>
      <c r="I104" s="73"/>
      <c r="J104" s="73"/>
      <c r="K104" s="73"/>
      <c r="L104" s="297"/>
      <c r="S104" s="297"/>
      <c r="T104" s="297"/>
    </row>
    <row r="105" spans="1:20" s="67" customFormat="1" ht="15">
      <c r="A105" s="70"/>
      <c r="B105" s="84"/>
      <c r="C105" s="72"/>
      <c r="D105" s="84"/>
      <c r="E105" s="73"/>
      <c r="F105" s="74"/>
      <c r="G105" s="73"/>
      <c r="H105" s="73"/>
      <c r="I105" s="73"/>
      <c r="J105" s="73"/>
      <c r="K105" s="73"/>
      <c r="L105" s="297"/>
      <c r="S105" s="297"/>
      <c r="T105" s="297"/>
    </row>
    <row r="106" spans="1:20" s="67" customFormat="1" ht="15">
      <c r="A106" s="70"/>
      <c r="B106" s="84"/>
      <c r="C106" s="72"/>
      <c r="D106" s="84"/>
      <c r="E106" s="73"/>
      <c r="F106" s="74"/>
      <c r="G106" s="73"/>
      <c r="H106" s="73"/>
      <c r="I106" s="73"/>
      <c r="J106" s="73"/>
      <c r="K106" s="73"/>
      <c r="L106" s="297"/>
      <c r="S106" s="297"/>
      <c r="T106" s="297"/>
    </row>
    <row r="107" spans="1:11" ht="15">
      <c r="A107" s="42">
        <v>10</v>
      </c>
      <c r="C107" s="120" t="s">
        <v>384</v>
      </c>
      <c r="D107" s="120"/>
      <c r="E107" s="120"/>
      <c r="G107" s="45"/>
      <c r="H107" s="45"/>
      <c r="I107" s="46"/>
      <c r="J107" s="45"/>
      <c r="K107" s="47"/>
    </row>
    <row r="108" spans="3:11" ht="15">
      <c r="C108" s="44" t="s">
        <v>332</v>
      </c>
      <c r="G108" s="45"/>
      <c r="H108" s="45"/>
      <c r="I108" s="46"/>
      <c r="J108" s="45"/>
      <c r="K108" s="47"/>
    </row>
    <row r="109" spans="1:11" ht="14.25">
      <c r="A109" s="54"/>
      <c r="B109" s="32"/>
      <c r="C109" s="112" t="s">
        <v>360</v>
      </c>
      <c r="E109" s="86" t="s">
        <v>385</v>
      </c>
      <c r="F109" s="87"/>
      <c r="G109" s="86" t="s">
        <v>386</v>
      </c>
      <c r="H109" s="45"/>
      <c r="I109" s="86" t="s">
        <v>387</v>
      </c>
      <c r="J109" s="45"/>
      <c r="K109" s="88" t="s">
        <v>336</v>
      </c>
    </row>
    <row r="110" spans="1:20" s="33" customFormat="1" ht="15">
      <c r="A110" s="42"/>
      <c r="B110" s="43"/>
      <c r="C110" s="48" t="s">
        <v>364</v>
      </c>
      <c r="D110" s="43"/>
      <c r="E110" s="43"/>
      <c r="F110" s="43"/>
      <c r="G110" s="68"/>
      <c r="H110" s="68"/>
      <c r="I110" s="89"/>
      <c r="J110" s="68"/>
      <c r="K110" s="90"/>
      <c r="L110" s="65"/>
      <c r="S110" s="65"/>
      <c r="T110" s="65"/>
    </row>
    <row r="111" spans="1:11" ht="15">
      <c r="A111" s="70"/>
      <c r="C111" s="113" t="s">
        <v>581</v>
      </c>
      <c r="E111" s="104"/>
      <c r="F111" s="92"/>
      <c r="G111" s="73">
        <v>14556209182</v>
      </c>
      <c r="H111" s="94"/>
      <c r="I111" s="127"/>
      <c r="J111" s="128"/>
      <c r="K111" s="73">
        <f>SUM(G111:J111)</f>
        <v>14556209182</v>
      </c>
    </row>
    <row r="112" spans="1:11" ht="15">
      <c r="A112" s="70"/>
      <c r="C112" s="113" t="s">
        <v>365</v>
      </c>
      <c r="E112" s="104"/>
      <c r="F112" s="92"/>
      <c r="G112" s="104"/>
      <c r="H112" s="104"/>
      <c r="I112" s="104"/>
      <c r="J112" s="104"/>
      <c r="K112" s="104"/>
    </row>
    <row r="113" spans="1:11" ht="15">
      <c r="A113" s="70"/>
      <c r="C113" s="118" t="s">
        <v>366</v>
      </c>
      <c r="D113" s="118"/>
      <c r="E113" s="129"/>
      <c r="F113" s="92"/>
      <c r="G113" s="129"/>
      <c r="H113" s="129"/>
      <c r="I113" s="129"/>
      <c r="J113" s="129"/>
      <c r="K113" s="129"/>
    </row>
    <row r="114" spans="1:11" ht="15">
      <c r="A114" s="70"/>
      <c r="C114" s="113" t="s">
        <v>590</v>
      </c>
      <c r="E114" s="104"/>
      <c r="F114" s="92"/>
      <c r="G114" s="73">
        <v>14556209182</v>
      </c>
      <c r="H114" s="73"/>
      <c r="I114" s="73"/>
      <c r="J114" s="73"/>
      <c r="K114" s="73">
        <f>SUM(G114:J114)</f>
        <v>14556209182</v>
      </c>
    </row>
    <row r="115" spans="1:20" s="33" customFormat="1" ht="15">
      <c r="A115" s="42"/>
      <c r="B115" s="43"/>
      <c r="C115" s="48" t="s">
        <v>367</v>
      </c>
      <c r="D115" s="43"/>
      <c r="E115" s="100"/>
      <c r="F115" s="100"/>
      <c r="G115" s="101"/>
      <c r="H115" s="101"/>
      <c r="I115" s="102"/>
      <c r="J115" s="101"/>
      <c r="K115" s="73">
        <f>SUM(G115:J115)</f>
        <v>0</v>
      </c>
      <c r="L115" s="65"/>
      <c r="S115" s="65"/>
      <c r="T115" s="65"/>
    </row>
    <row r="116" spans="1:11" ht="15">
      <c r="A116" s="54"/>
      <c r="C116" s="113" t="s">
        <v>581</v>
      </c>
      <c r="E116" s="104"/>
      <c r="F116" s="92"/>
      <c r="G116" s="104">
        <v>457637176</v>
      </c>
      <c r="H116" s="105"/>
      <c r="I116" s="127"/>
      <c r="J116" s="128"/>
      <c r="K116" s="73">
        <f>SUM(G116:J116)</f>
        <v>457637176</v>
      </c>
    </row>
    <row r="117" spans="1:11" ht="15">
      <c r="A117" s="54"/>
      <c r="C117" s="113" t="s">
        <v>365</v>
      </c>
      <c r="E117" s="104"/>
      <c r="F117" s="92"/>
      <c r="G117" s="73">
        <f>72780995+72781044+72781044</f>
        <v>218343083</v>
      </c>
      <c r="H117" s="105"/>
      <c r="I117" s="95"/>
      <c r="J117" s="96"/>
      <c r="K117" s="73">
        <f>SUM(G117:J117)</f>
        <v>218343083</v>
      </c>
    </row>
    <row r="118" spans="1:11" ht="15">
      <c r="A118" s="54"/>
      <c r="C118" s="118" t="s">
        <v>366</v>
      </c>
      <c r="D118" s="118"/>
      <c r="E118" s="129"/>
      <c r="F118" s="92"/>
      <c r="G118" s="129"/>
      <c r="H118" s="129"/>
      <c r="I118" s="129"/>
      <c r="J118" s="129"/>
      <c r="K118" s="129"/>
    </row>
    <row r="119" spans="1:19" ht="15">
      <c r="A119" s="54"/>
      <c r="C119" s="113" t="s">
        <v>590</v>
      </c>
      <c r="E119" s="92"/>
      <c r="F119" s="92"/>
      <c r="G119" s="73">
        <f>G116+G117</f>
        <v>675980259</v>
      </c>
      <c r="H119" s="73"/>
      <c r="I119" s="73"/>
      <c r="J119" s="73"/>
      <c r="K119" s="73">
        <f>K116+K117</f>
        <v>675980259</v>
      </c>
      <c r="S119" s="2">
        <f>K119+'BẢNG CÂN ĐỐI KẾ TOÁN'!D51</f>
        <v>0</v>
      </c>
    </row>
    <row r="120" spans="1:20" s="33" customFormat="1" ht="15">
      <c r="A120" s="42"/>
      <c r="B120" s="43"/>
      <c r="C120" s="48" t="s">
        <v>368</v>
      </c>
      <c r="D120" s="43"/>
      <c r="E120" s="100">
        <v>0</v>
      </c>
      <c r="F120" s="100"/>
      <c r="G120" s="101"/>
      <c r="H120" s="101"/>
      <c r="I120" s="107"/>
      <c r="J120" s="108"/>
      <c r="K120" s="101"/>
      <c r="L120" s="65"/>
      <c r="S120" s="65"/>
      <c r="T120" s="65"/>
    </row>
    <row r="121" spans="1:20" s="33" customFormat="1" ht="15">
      <c r="A121" s="42"/>
      <c r="B121" s="43"/>
      <c r="C121" s="48" t="s">
        <v>582</v>
      </c>
      <c r="D121" s="43"/>
      <c r="E121" s="130"/>
      <c r="F121" s="100"/>
      <c r="G121" s="73">
        <f>G111-G116</f>
        <v>14098572006</v>
      </c>
      <c r="H121" s="73"/>
      <c r="I121" s="73"/>
      <c r="J121" s="73"/>
      <c r="K121" s="73">
        <f>K111-K116</f>
        <v>14098572006</v>
      </c>
      <c r="L121" s="65"/>
      <c r="S121" s="65"/>
      <c r="T121" s="65"/>
    </row>
    <row r="122" spans="1:20" s="33" customFormat="1" ht="15">
      <c r="A122" s="42"/>
      <c r="B122" s="43"/>
      <c r="C122" s="48" t="s">
        <v>591</v>
      </c>
      <c r="D122" s="43"/>
      <c r="E122" s="130"/>
      <c r="F122" s="100"/>
      <c r="G122" s="73">
        <f>G114-G119</f>
        <v>13880228923</v>
      </c>
      <c r="H122" s="73"/>
      <c r="I122" s="73"/>
      <c r="J122" s="73"/>
      <c r="K122" s="73">
        <f>K114-K119</f>
        <v>13880228923</v>
      </c>
      <c r="L122" s="65"/>
      <c r="S122" s="65">
        <f>K122-'BẢNG CÂN ĐỐI KẾ TOÁN'!D49</f>
        <v>0</v>
      </c>
      <c r="T122" s="65"/>
    </row>
    <row r="123" spans="3:11" ht="15">
      <c r="C123" s="113"/>
      <c r="G123" s="45"/>
      <c r="H123" s="45"/>
      <c r="I123" s="46"/>
      <c r="J123" s="45"/>
      <c r="K123" s="47"/>
    </row>
    <row r="124" spans="1:11" ht="15">
      <c r="A124" s="42">
        <v>11</v>
      </c>
      <c r="C124" s="44" t="s">
        <v>388</v>
      </c>
      <c r="G124" s="45"/>
      <c r="H124" s="45"/>
      <c r="I124" s="50" t="str">
        <f>I88</f>
        <v>30/09/2012</v>
      </c>
      <c r="J124" s="51"/>
      <c r="K124" s="50" t="str">
        <f>K88</f>
        <v>01/01/2012</v>
      </c>
    </row>
    <row r="125" spans="3:11" ht="15">
      <c r="C125" s="44" t="s">
        <v>332</v>
      </c>
      <c r="G125" s="41"/>
      <c r="H125" s="45"/>
      <c r="I125" s="52" t="s">
        <v>333</v>
      </c>
      <c r="J125" s="53"/>
      <c r="K125" s="52" t="s">
        <v>333</v>
      </c>
    </row>
    <row r="126" spans="1:11" ht="14.25">
      <c r="A126" s="54"/>
      <c r="B126" s="32"/>
      <c r="C126" s="6" t="s">
        <v>389</v>
      </c>
      <c r="G126" s="77"/>
      <c r="H126" s="45"/>
      <c r="I126" s="79">
        <f>I127</f>
        <v>6780000000</v>
      </c>
      <c r="J126" s="131"/>
      <c r="K126" s="79">
        <f>K127</f>
        <v>3700000000</v>
      </c>
    </row>
    <row r="127" spans="1:20" s="67" customFormat="1" ht="15">
      <c r="A127" s="70"/>
      <c r="B127" s="84"/>
      <c r="C127" s="72" t="s">
        <v>374</v>
      </c>
      <c r="D127" s="84"/>
      <c r="E127" s="73"/>
      <c r="F127" s="74"/>
      <c r="G127" s="73"/>
      <c r="H127" s="73"/>
      <c r="I127" s="79">
        <f>'BẢNG CÂN ĐỐI KẾ TOÁN'!D53</f>
        <v>6780000000</v>
      </c>
      <c r="J127" s="73"/>
      <c r="K127" s="79">
        <v>3700000000</v>
      </c>
      <c r="L127" s="297"/>
      <c r="S127" s="297"/>
      <c r="T127" s="297"/>
    </row>
    <row r="128" spans="1:11" ht="14.25">
      <c r="A128" s="54"/>
      <c r="B128" s="32"/>
      <c r="C128" s="6" t="s">
        <v>390</v>
      </c>
      <c r="G128" s="77"/>
      <c r="H128" s="45"/>
      <c r="I128" s="79"/>
      <c r="J128" s="131"/>
      <c r="K128" s="79"/>
    </row>
    <row r="129" spans="1:11" ht="14.25">
      <c r="A129" s="54"/>
      <c r="B129" s="32"/>
      <c r="C129" s="6" t="s">
        <v>391</v>
      </c>
      <c r="G129" s="77"/>
      <c r="H129" s="45"/>
      <c r="I129" s="79">
        <v>550000000</v>
      </c>
      <c r="J129" s="131"/>
      <c r="K129" s="79">
        <v>550000000</v>
      </c>
    </row>
    <row r="130" spans="1:11" ht="15">
      <c r="A130" s="54"/>
      <c r="C130" s="55" t="s">
        <v>392</v>
      </c>
      <c r="G130" s="41"/>
      <c r="H130" s="45"/>
      <c r="I130" s="79">
        <v>550000000</v>
      </c>
      <c r="J130" s="131"/>
      <c r="K130" s="79">
        <v>550000000</v>
      </c>
    </row>
    <row r="131" spans="1:11" ht="15">
      <c r="A131" s="54"/>
      <c r="C131" s="55" t="s">
        <v>393</v>
      </c>
      <c r="G131" s="45"/>
      <c r="H131" s="45"/>
      <c r="I131" s="132"/>
      <c r="J131" s="133"/>
      <c r="K131" s="132"/>
    </row>
    <row r="132" spans="1:11" ht="15">
      <c r="A132" s="54"/>
      <c r="C132" s="55" t="s">
        <v>394</v>
      </c>
      <c r="G132" s="45"/>
      <c r="H132" s="45"/>
      <c r="I132" s="60"/>
      <c r="J132" s="59"/>
      <c r="K132" s="60"/>
    </row>
    <row r="133" spans="1:11" ht="14.25">
      <c r="A133" s="54"/>
      <c r="B133" s="32"/>
      <c r="C133" s="6" t="s">
        <v>395</v>
      </c>
      <c r="G133" s="77"/>
      <c r="H133" s="45"/>
      <c r="I133" s="79"/>
      <c r="J133" s="131"/>
      <c r="K133" s="79"/>
    </row>
    <row r="134" spans="3:19" ht="15.75" thickBot="1">
      <c r="C134" s="44" t="s">
        <v>336</v>
      </c>
      <c r="G134" s="45"/>
      <c r="H134" s="45"/>
      <c r="I134" s="126">
        <f>I126+I128+I129+I133</f>
        <v>7330000000</v>
      </c>
      <c r="J134" s="59"/>
      <c r="K134" s="126">
        <f>K126+K128+K129+K133</f>
        <v>4250000000</v>
      </c>
      <c r="L134" s="2">
        <f>I134-'BẢNG CÂN ĐỐI KẾ TOÁN'!D52</f>
        <v>0</v>
      </c>
      <c r="S134" s="2">
        <f>I134-'BẢNG CÂN ĐỐI KẾ TOÁN'!D52</f>
        <v>0</v>
      </c>
    </row>
    <row r="135" spans="3:11" ht="15.75" thickTop="1">
      <c r="C135" s="134"/>
      <c r="G135" s="45"/>
      <c r="H135" s="45"/>
      <c r="I135" s="46"/>
      <c r="J135" s="45"/>
      <c r="K135" s="47"/>
    </row>
    <row r="136" spans="1:11" ht="15">
      <c r="A136" s="49">
        <v>12</v>
      </c>
      <c r="C136" s="44" t="s">
        <v>396</v>
      </c>
      <c r="G136" s="45"/>
      <c r="H136" s="45"/>
      <c r="I136" s="50" t="str">
        <f>I88</f>
        <v>30/09/2012</v>
      </c>
      <c r="J136" s="51"/>
      <c r="K136" s="50" t="str">
        <f>K88</f>
        <v>01/01/2012</v>
      </c>
    </row>
    <row r="137" spans="3:11" ht="15">
      <c r="C137" s="44"/>
      <c r="G137" s="45"/>
      <c r="H137" s="45"/>
      <c r="I137" s="52" t="s">
        <v>333</v>
      </c>
      <c r="J137" s="53"/>
      <c r="K137" s="52" t="s">
        <v>333</v>
      </c>
    </row>
    <row r="138" spans="1:20" s="75" customFormat="1" ht="15">
      <c r="A138" s="70"/>
      <c r="B138" s="71"/>
      <c r="C138" s="44" t="s">
        <v>332</v>
      </c>
      <c r="D138" s="71"/>
      <c r="E138" s="73"/>
      <c r="F138" s="74"/>
      <c r="G138" s="73"/>
      <c r="H138" s="73"/>
      <c r="I138" s="2">
        <f>'BẢNG CÂN ĐỐI KẾ TOÁN'!D58</f>
        <v>272080594</v>
      </c>
      <c r="J138" s="6"/>
      <c r="K138" s="2">
        <f>I138</f>
        <v>272080594</v>
      </c>
      <c r="L138" s="299"/>
      <c r="S138" s="299"/>
      <c r="T138" s="299"/>
    </row>
    <row r="139" spans="1:20" s="32" customFormat="1" ht="15.75" thickBot="1">
      <c r="A139" s="42"/>
      <c r="B139" s="43"/>
      <c r="C139" s="44" t="s">
        <v>336</v>
      </c>
      <c r="G139" s="45"/>
      <c r="H139" s="45"/>
      <c r="I139" s="126">
        <f>SUM(I138)</f>
        <v>272080594</v>
      </c>
      <c r="J139" s="59"/>
      <c r="K139" s="126">
        <f>SUM(K138)</f>
        <v>272080594</v>
      </c>
      <c r="L139" s="40">
        <f>I139-'BẢNG CÂN ĐỐI KẾ TOÁN'!D57</f>
        <v>0</v>
      </c>
      <c r="S139" s="40">
        <f>I139-'BẢNG CÂN ĐỐI KẾ TOÁN'!D57</f>
        <v>0</v>
      </c>
      <c r="T139" s="40"/>
    </row>
    <row r="140" spans="3:11" ht="15.75" thickTop="1">
      <c r="C140" s="44"/>
      <c r="G140" s="45"/>
      <c r="H140" s="45"/>
      <c r="I140" s="60"/>
      <c r="J140" s="59"/>
      <c r="K140" s="61"/>
    </row>
    <row r="141" spans="1:11" ht="15">
      <c r="A141" s="42">
        <v>13</v>
      </c>
      <c r="C141" s="44" t="s">
        <v>397</v>
      </c>
      <c r="G141" s="45"/>
      <c r="H141" s="45"/>
      <c r="I141" s="50" t="s">
        <v>598</v>
      </c>
      <c r="J141" s="51"/>
      <c r="K141" s="50" t="s">
        <v>580</v>
      </c>
    </row>
    <row r="142" spans="3:11" ht="15">
      <c r="C142" s="44" t="s">
        <v>332</v>
      </c>
      <c r="G142" s="41"/>
      <c r="H142" s="45"/>
      <c r="I142" s="52" t="s">
        <v>333</v>
      </c>
      <c r="J142" s="53"/>
      <c r="K142" s="52" t="s">
        <v>333</v>
      </c>
    </row>
    <row r="143" spans="1:11" ht="15">
      <c r="A143" s="54"/>
      <c r="C143" s="55" t="s">
        <v>398</v>
      </c>
      <c r="G143" s="45"/>
      <c r="H143" s="45"/>
      <c r="I143" s="79">
        <f>SUM(I144:I149)</f>
        <v>33637001957</v>
      </c>
      <c r="J143" s="59"/>
      <c r="K143" s="79">
        <f>SUM(K144:K148)</f>
        <v>34824975074</v>
      </c>
    </row>
    <row r="144" spans="1:20" s="67" customFormat="1" ht="15">
      <c r="A144" s="70"/>
      <c r="B144" s="84"/>
      <c r="C144" s="72" t="s">
        <v>399</v>
      </c>
      <c r="D144" s="84"/>
      <c r="E144" s="84"/>
      <c r="F144" s="84"/>
      <c r="G144" s="115"/>
      <c r="H144" s="115"/>
      <c r="I144" s="62">
        <f>4600000000</f>
        <v>4600000000</v>
      </c>
      <c r="J144" s="63"/>
      <c r="K144" s="62">
        <f>3620392800</f>
        <v>3620392800</v>
      </c>
      <c r="L144" s="297"/>
      <c r="S144" s="297"/>
      <c r="T144" s="297"/>
    </row>
    <row r="145" spans="1:20" s="67" customFormat="1" ht="15">
      <c r="A145" s="70"/>
      <c r="B145" s="84"/>
      <c r="C145" s="72" t="s">
        <v>400</v>
      </c>
      <c r="D145" s="84"/>
      <c r="E145" s="84"/>
      <c r="F145" s="84"/>
      <c r="G145" s="115"/>
      <c r="H145" s="115"/>
      <c r="I145" s="135">
        <f>19565010957</f>
        <v>19565010957</v>
      </c>
      <c r="J145" s="63"/>
      <c r="K145" s="135">
        <f>21160721391</f>
        <v>21160721391</v>
      </c>
      <c r="L145" s="297"/>
      <c r="S145" s="297"/>
      <c r="T145" s="297"/>
    </row>
    <row r="146" spans="1:20" s="67" customFormat="1" ht="15">
      <c r="A146" s="70"/>
      <c r="B146" s="84"/>
      <c r="C146" s="72" t="s">
        <v>401</v>
      </c>
      <c r="D146" s="84"/>
      <c r="E146" s="84"/>
      <c r="F146" s="84"/>
      <c r="G146" s="115"/>
      <c r="H146" s="115"/>
      <c r="I146" s="135">
        <f>5254090600</f>
        <v>5254090600</v>
      </c>
      <c r="J146" s="63"/>
      <c r="K146" s="135">
        <f>7649666125</f>
        <v>7649666125</v>
      </c>
      <c r="L146" s="297"/>
      <c r="S146" s="297"/>
      <c r="T146" s="297"/>
    </row>
    <row r="147" spans="1:20" s="67" customFormat="1" ht="15">
      <c r="A147" s="70"/>
      <c r="B147" s="84"/>
      <c r="C147" s="72" t="s">
        <v>402</v>
      </c>
      <c r="D147" s="84"/>
      <c r="E147" s="84"/>
      <c r="F147" s="84"/>
      <c r="G147" s="115"/>
      <c r="H147" s="115"/>
      <c r="I147" s="135"/>
      <c r="J147" s="63"/>
      <c r="K147" s="135">
        <f>994194758</f>
        <v>994194758</v>
      </c>
      <c r="L147" s="297"/>
      <c r="S147" s="297"/>
      <c r="T147" s="297"/>
    </row>
    <row r="148" spans="1:20" s="67" customFormat="1" ht="15">
      <c r="A148" s="70"/>
      <c r="B148" s="84"/>
      <c r="C148" s="72" t="s">
        <v>403</v>
      </c>
      <c r="D148" s="84"/>
      <c r="E148" s="84"/>
      <c r="F148" s="84"/>
      <c r="G148" s="115"/>
      <c r="H148" s="115"/>
      <c r="I148" s="135">
        <f>1400000000</f>
        <v>1400000000</v>
      </c>
      <c r="J148" s="63"/>
      <c r="K148" s="135">
        <f>1400000000</f>
        <v>1400000000</v>
      </c>
      <c r="L148" s="297"/>
      <c r="S148" s="297"/>
      <c r="T148" s="297"/>
    </row>
    <row r="149" spans="1:20" s="67" customFormat="1" ht="15">
      <c r="A149" s="70"/>
      <c r="B149" s="84"/>
      <c r="C149" s="72" t="s">
        <v>408</v>
      </c>
      <c r="D149" s="84"/>
      <c r="E149" s="84"/>
      <c r="F149" s="84"/>
      <c r="G149" s="115"/>
      <c r="H149" s="115"/>
      <c r="I149" s="135">
        <f>2817900400</f>
        <v>2817900400</v>
      </c>
      <c r="J149" s="63"/>
      <c r="K149" s="135"/>
      <c r="L149" s="297"/>
      <c r="S149" s="297"/>
      <c r="T149" s="297"/>
    </row>
    <row r="150" spans="1:11" ht="15">
      <c r="A150" s="54"/>
      <c r="B150" s="32"/>
      <c r="C150" s="55" t="s">
        <v>404</v>
      </c>
      <c r="G150" s="45"/>
      <c r="H150" s="45"/>
      <c r="I150" s="79">
        <f>SUM(I151:I155)</f>
        <v>1043207500</v>
      </c>
      <c r="J150" s="59"/>
      <c r="K150" s="79">
        <f>SUM(K151:K155)</f>
        <v>4082830000</v>
      </c>
    </row>
    <row r="151" spans="1:20" s="67" customFormat="1" ht="15">
      <c r="A151" s="70"/>
      <c r="B151" s="84"/>
      <c r="C151" s="72" t="s">
        <v>401</v>
      </c>
      <c r="D151" s="84"/>
      <c r="E151" s="84"/>
      <c r="F151" s="84"/>
      <c r="G151" s="115"/>
      <c r="H151" s="115"/>
      <c r="I151" s="62">
        <f>481250000</f>
        <v>481250000</v>
      </c>
      <c r="J151" s="63"/>
      <c r="K151" s="62">
        <f>1925000000</f>
        <v>1925000000</v>
      </c>
      <c r="L151" s="297"/>
      <c r="S151" s="297"/>
      <c r="T151" s="297"/>
    </row>
    <row r="152" spans="1:20" s="67" customFormat="1" ht="15">
      <c r="A152" s="70"/>
      <c r="B152" s="84"/>
      <c r="C152" s="72" t="s">
        <v>405</v>
      </c>
      <c r="D152" s="84"/>
      <c r="E152" s="84"/>
      <c r="F152" s="84"/>
      <c r="G152" s="115"/>
      <c r="H152" s="115"/>
      <c r="I152" s="62"/>
      <c r="J152" s="63"/>
      <c r="K152" s="62"/>
      <c r="L152" s="297"/>
      <c r="S152" s="297"/>
      <c r="T152" s="297"/>
    </row>
    <row r="153" spans="1:20" s="67" customFormat="1" ht="15">
      <c r="A153" s="70"/>
      <c r="B153" s="84"/>
      <c r="C153" s="72" t="s">
        <v>406</v>
      </c>
      <c r="D153" s="84"/>
      <c r="E153" s="84"/>
      <c r="F153" s="84"/>
      <c r="G153" s="115"/>
      <c r="H153" s="115"/>
      <c r="I153" s="135">
        <f>23625000</f>
        <v>23625000</v>
      </c>
      <c r="J153" s="63"/>
      <c r="K153" s="135">
        <f>94500000</f>
        <v>94500000</v>
      </c>
      <c r="L153" s="297"/>
      <c r="S153" s="297"/>
      <c r="T153" s="297"/>
    </row>
    <row r="154" spans="1:20" s="67" customFormat="1" ht="15">
      <c r="A154" s="70"/>
      <c r="B154" s="84"/>
      <c r="C154" s="72" t="s">
        <v>407</v>
      </c>
      <c r="D154" s="84"/>
      <c r="E154" s="84"/>
      <c r="F154" s="84"/>
      <c r="G154" s="115"/>
      <c r="H154" s="115"/>
      <c r="I154" s="135">
        <f>90000000</f>
        <v>90000000</v>
      </c>
      <c r="J154" s="63"/>
      <c r="K154" s="135">
        <f>270000000</f>
        <v>270000000</v>
      </c>
      <c r="L154" s="297"/>
      <c r="S154" s="297"/>
      <c r="T154" s="297"/>
    </row>
    <row r="155" spans="1:20" s="67" customFormat="1" ht="15">
      <c r="A155" s="70"/>
      <c r="B155" s="84"/>
      <c r="C155" s="72" t="s">
        <v>408</v>
      </c>
      <c r="D155" s="84"/>
      <c r="E155" s="84"/>
      <c r="F155" s="84"/>
      <c r="G155" s="115"/>
      <c r="H155" s="115"/>
      <c r="I155" s="62">
        <f>448332500</f>
        <v>448332500</v>
      </c>
      <c r="J155" s="63"/>
      <c r="K155" s="62">
        <f>1793330000</f>
        <v>1793330000</v>
      </c>
      <c r="L155" s="297"/>
      <c r="S155" s="297"/>
      <c r="T155" s="297"/>
    </row>
    <row r="156" spans="3:19" ht="15.75" thickBot="1">
      <c r="C156" s="44" t="s">
        <v>336</v>
      </c>
      <c r="G156" s="45"/>
      <c r="H156" s="45"/>
      <c r="I156" s="126">
        <f>I143+I150</f>
        <v>34680209457</v>
      </c>
      <c r="J156" s="59"/>
      <c r="K156" s="126">
        <f>K143+K150</f>
        <v>38907805074</v>
      </c>
      <c r="L156" s="2">
        <f>I156-'BẢNG CÂN ĐỐI KẾ TOÁN'!D66</f>
        <v>0</v>
      </c>
      <c r="S156" s="2">
        <f>I156-'BẢNG CÂN ĐỐI KẾ TOÁN'!D66</f>
        <v>0</v>
      </c>
    </row>
    <row r="157" spans="3:11" ht="15.75" thickTop="1">
      <c r="C157" s="44"/>
      <c r="G157" s="45"/>
      <c r="H157" s="45"/>
      <c r="I157" s="60"/>
      <c r="J157" s="59"/>
      <c r="K157" s="61"/>
    </row>
    <row r="158" spans="3:11" ht="15">
      <c r="C158" s="44"/>
      <c r="G158" s="45"/>
      <c r="H158" s="45"/>
      <c r="I158" s="60"/>
      <c r="J158" s="59"/>
      <c r="K158" s="61"/>
    </row>
    <row r="159" spans="3:11" ht="15">
      <c r="C159" s="44"/>
      <c r="G159" s="45"/>
      <c r="H159" s="45"/>
      <c r="I159" s="60"/>
      <c r="J159" s="59"/>
      <c r="K159" s="61"/>
    </row>
    <row r="160" spans="3:11" ht="15">
      <c r="C160" s="44"/>
      <c r="G160" s="45"/>
      <c r="H160" s="45"/>
      <c r="I160" s="60"/>
      <c r="J160" s="59"/>
      <c r="K160" s="61"/>
    </row>
    <row r="161" spans="1:11" ht="15">
      <c r="A161" s="42">
        <v>14</v>
      </c>
      <c r="C161" s="44" t="s">
        <v>4</v>
      </c>
      <c r="G161" s="45"/>
      <c r="H161" s="45"/>
      <c r="I161" s="50" t="s">
        <v>598</v>
      </c>
      <c r="J161" s="51"/>
      <c r="K161" s="50" t="s">
        <v>580</v>
      </c>
    </row>
    <row r="162" spans="3:11" ht="15">
      <c r="C162" s="44"/>
      <c r="G162" s="45"/>
      <c r="H162" s="45"/>
      <c r="I162" s="52" t="s">
        <v>333</v>
      </c>
      <c r="J162" s="53"/>
      <c r="K162" s="52" t="s">
        <v>333</v>
      </c>
    </row>
    <row r="163" spans="1:20" s="75" customFormat="1" ht="15">
      <c r="A163" s="11"/>
      <c r="B163" s="71"/>
      <c r="C163" s="44" t="s">
        <v>332</v>
      </c>
      <c r="D163" s="71"/>
      <c r="E163" s="136"/>
      <c r="F163" s="74"/>
      <c r="G163" s="136"/>
      <c r="H163" s="136"/>
      <c r="L163" s="299"/>
      <c r="S163" s="299"/>
      <c r="T163" s="299"/>
    </row>
    <row r="164" spans="1:11" ht="14.25">
      <c r="A164" s="54"/>
      <c r="B164" s="32"/>
      <c r="C164" s="55" t="s">
        <v>409</v>
      </c>
      <c r="E164" s="104"/>
      <c r="F164" s="92"/>
      <c r="G164" s="104"/>
      <c r="H164" s="104"/>
      <c r="I164" s="280">
        <f>'BẢNG CÂN ĐỐI KẾ TOÁN'!D68</f>
        <v>6157289000</v>
      </c>
      <c r="J164" s="280" t="e">
        <f>SUM(#REF!)</f>
        <v>#REF!</v>
      </c>
      <c r="K164" s="280">
        <v>19598907413</v>
      </c>
    </row>
    <row r="165" spans="1:20" s="32" customFormat="1" ht="14.25">
      <c r="A165" s="54"/>
      <c r="C165" s="55" t="s">
        <v>5</v>
      </c>
      <c r="G165" s="45"/>
      <c r="H165" s="45"/>
      <c r="I165" s="79">
        <f>'BẢNG CÂN ĐỐI KẾ TOÁN'!D67</f>
        <v>10826638517</v>
      </c>
      <c r="J165" s="57"/>
      <c r="K165" s="79">
        <v>1229769273</v>
      </c>
      <c r="L165" s="40">
        <f>I165-'BẢNG CÂN ĐỐI KẾ TOÁN'!D67</f>
        <v>0</v>
      </c>
      <c r="S165" s="40"/>
      <c r="T165" s="40"/>
    </row>
    <row r="166" spans="3:11" ht="15">
      <c r="C166" s="44"/>
      <c r="G166" s="45"/>
      <c r="H166" s="45"/>
      <c r="I166" s="50"/>
      <c r="J166" s="51"/>
      <c r="K166" s="50"/>
    </row>
    <row r="167" spans="3:11" ht="15">
      <c r="C167" s="44" t="s">
        <v>336</v>
      </c>
      <c r="G167" s="45"/>
      <c r="H167" s="45"/>
      <c r="I167" s="52">
        <f>SUM(I164:I166)</f>
        <v>16983927517</v>
      </c>
      <c r="J167" s="53"/>
      <c r="K167" s="52">
        <f>SUM(K164:K166)</f>
        <v>20828676686</v>
      </c>
    </row>
    <row r="168" spans="1:20" s="32" customFormat="1" ht="15">
      <c r="A168" s="42"/>
      <c r="B168" s="43"/>
      <c r="C168" s="44"/>
      <c r="G168" s="45"/>
      <c r="H168" s="45"/>
      <c r="I168" s="61"/>
      <c r="J168" s="59"/>
      <c r="K168" s="61"/>
      <c r="L168" s="40"/>
      <c r="S168" s="40"/>
      <c r="T168" s="40"/>
    </row>
    <row r="169" spans="1:11" ht="15">
      <c r="A169" s="42">
        <v>15</v>
      </c>
      <c r="C169" s="44" t="s">
        <v>410</v>
      </c>
      <c r="D169" s="137"/>
      <c r="E169" s="137"/>
      <c r="F169" s="137"/>
      <c r="G169" s="137"/>
      <c r="H169" s="137"/>
      <c r="I169" s="138"/>
      <c r="J169" s="137"/>
      <c r="K169" s="69" t="s">
        <v>411</v>
      </c>
    </row>
    <row r="170" spans="1:11" ht="15">
      <c r="A170" s="49"/>
      <c r="C170" s="44" t="s">
        <v>332</v>
      </c>
      <c r="D170" s="137"/>
      <c r="E170" s="50" t="s">
        <v>580</v>
      </c>
      <c r="F170" s="137"/>
      <c r="G170" s="139" t="s">
        <v>412</v>
      </c>
      <c r="H170" s="140"/>
      <c r="I170" s="141" t="s">
        <v>413</v>
      </c>
      <c r="J170" s="137"/>
      <c r="K170" s="50" t="s">
        <v>598</v>
      </c>
    </row>
    <row r="171" spans="1:11" ht="15">
      <c r="A171" s="54"/>
      <c r="C171" s="55" t="s">
        <v>414</v>
      </c>
      <c r="D171" s="142"/>
      <c r="E171" s="143">
        <v>2963576981</v>
      </c>
      <c r="F171" s="144"/>
      <c r="G171" s="145">
        <f>2977434678+165502911+609399623</f>
        <v>3752337212</v>
      </c>
      <c r="H171" s="146"/>
      <c r="I171" s="145">
        <f>131169297+977434678+121634402</f>
        <v>1230238377</v>
      </c>
      <c r="J171" s="147"/>
      <c r="K171" s="148">
        <f>E171+G171-I171</f>
        <v>5485675816</v>
      </c>
    </row>
    <row r="172" spans="1:11" ht="15">
      <c r="A172" s="54"/>
      <c r="C172" s="55" t="s">
        <v>415</v>
      </c>
      <c r="D172" s="142"/>
      <c r="E172" s="145">
        <v>0</v>
      </c>
      <c r="F172" s="144"/>
      <c r="G172" s="149">
        <v>0</v>
      </c>
      <c r="H172" s="146"/>
      <c r="I172" s="150">
        <v>0</v>
      </c>
      <c r="J172" s="146"/>
      <c r="K172" s="150">
        <v>0</v>
      </c>
    </row>
    <row r="173" spans="1:11" ht="15">
      <c r="A173" s="54"/>
      <c r="C173" s="55" t="s">
        <v>416</v>
      </c>
      <c r="D173" s="142"/>
      <c r="E173" s="145">
        <v>0</v>
      </c>
      <c r="F173" s="144"/>
      <c r="G173" s="149">
        <v>0</v>
      </c>
      <c r="H173" s="146"/>
      <c r="I173" s="150">
        <v>0</v>
      </c>
      <c r="J173" s="146"/>
      <c r="K173" s="150">
        <v>0</v>
      </c>
    </row>
    <row r="174" spans="1:11" ht="15">
      <c r="A174" s="54"/>
      <c r="C174" s="55" t="s">
        <v>417</v>
      </c>
      <c r="D174" s="142"/>
      <c r="E174" s="145">
        <v>121634402</v>
      </c>
      <c r="F174" s="144"/>
      <c r="G174" s="145">
        <f>1621358270</f>
        <v>1621358270</v>
      </c>
      <c r="H174" s="145" t="e">
        <f>#REF!+H175</f>
        <v>#REF!</v>
      </c>
      <c r="I174" s="145">
        <f>G174</f>
        <v>1621358270</v>
      </c>
      <c r="J174" s="145"/>
      <c r="K174" s="148">
        <f>E174+G174-I174</f>
        <v>121634402</v>
      </c>
    </row>
    <row r="175" spans="1:20" s="67" customFormat="1" ht="5.25" customHeight="1">
      <c r="A175" s="70"/>
      <c r="B175" s="84"/>
      <c r="C175" s="72"/>
      <c r="D175" s="84"/>
      <c r="E175" s="151"/>
      <c r="F175" s="152"/>
      <c r="G175" s="151"/>
      <c r="H175" s="151"/>
      <c r="I175" s="148"/>
      <c r="J175" s="151"/>
      <c r="K175" s="153"/>
      <c r="L175" s="297"/>
      <c r="S175" s="297"/>
      <c r="T175" s="297"/>
    </row>
    <row r="176" spans="1:11" ht="15">
      <c r="A176" s="54"/>
      <c r="C176" s="55" t="s">
        <v>418</v>
      </c>
      <c r="D176" s="142"/>
      <c r="E176" s="151"/>
      <c r="F176" s="152"/>
      <c r="G176" s="151"/>
      <c r="H176" s="151"/>
      <c r="I176" s="151"/>
      <c r="J176" s="147"/>
      <c r="K176" s="153">
        <f>E176+G176-I176</f>
        <v>0</v>
      </c>
    </row>
    <row r="177" spans="1:11" ht="15">
      <c r="A177" s="54"/>
      <c r="C177" s="55" t="s">
        <v>419</v>
      </c>
      <c r="D177" s="142"/>
      <c r="E177" s="145">
        <v>0</v>
      </c>
      <c r="F177" s="144"/>
      <c r="G177" s="145">
        <v>0</v>
      </c>
      <c r="H177" s="144"/>
      <c r="I177" s="153">
        <v>0</v>
      </c>
      <c r="J177" s="144"/>
      <c r="K177" s="153">
        <v>0</v>
      </c>
    </row>
    <row r="178" spans="1:11" ht="15">
      <c r="A178" s="54"/>
      <c r="C178" s="55" t="s">
        <v>420</v>
      </c>
      <c r="D178" s="142"/>
      <c r="E178" s="145">
        <v>0</v>
      </c>
      <c r="F178" s="144"/>
      <c r="G178" s="145"/>
      <c r="H178" s="144"/>
      <c r="I178" s="153"/>
      <c r="J178" s="144"/>
      <c r="K178" s="153"/>
    </row>
    <row r="179" spans="1:11" ht="15">
      <c r="A179" s="54"/>
      <c r="C179" s="55" t="s">
        <v>421</v>
      </c>
      <c r="D179" s="142"/>
      <c r="E179" s="145">
        <v>0</v>
      </c>
      <c r="F179" s="144"/>
      <c r="G179" s="145">
        <f>3000000+1000000</f>
        <v>4000000</v>
      </c>
      <c r="H179" s="144"/>
      <c r="I179" s="154">
        <f>G179</f>
        <v>4000000</v>
      </c>
      <c r="J179" s="146"/>
      <c r="K179" s="153">
        <f>E179+G179-I179</f>
        <v>0</v>
      </c>
    </row>
    <row r="180" spans="3:19" ht="15.75" thickBot="1">
      <c r="C180" s="44" t="s">
        <v>336</v>
      </c>
      <c r="D180" s="155"/>
      <c r="E180" s="156">
        <f>SUM(E171:E179)</f>
        <v>3085211383</v>
      </c>
      <c r="F180" s="147"/>
      <c r="G180" s="156">
        <f>SUM(G171:G179)</f>
        <v>5377695482</v>
      </c>
      <c r="H180" s="156" t="e">
        <f>SUM(H171:H179)</f>
        <v>#REF!</v>
      </c>
      <c r="I180" s="156">
        <f>SUM(I171:I179)</f>
        <v>2855596647</v>
      </c>
      <c r="J180" s="156">
        <f>SUM(J171:J179)</f>
        <v>0</v>
      </c>
      <c r="K180" s="156">
        <f>SUM(K171:K179)</f>
        <v>5607310218</v>
      </c>
      <c r="L180" s="2">
        <f>K180-'BẢNG CÂN ĐỐI KẾ TOÁN'!D69</f>
        <v>0</v>
      </c>
      <c r="S180" s="2">
        <f>K180-'BẢNG CÂN ĐỐI KẾ TOÁN'!D69</f>
        <v>0</v>
      </c>
    </row>
    <row r="181" spans="3:11" ht="15.75" thickTop="1">
      <c r="C181" s="157"/>
      <c r="D181" s="155"/>
      <c r="E181" s="76"/>
      <c r="F181" s="59"/>
      <c r="G181" s="158"/>
      <c r="H181" s="159"/>
      <c r="I181" s="60"/>
      <c r="J181" s="159"/>
      <c r="K181" s="60"/>
    </row>
    <row r="182" spans="1:11" ht="15">
      <c r="A182" s="42">
        <v>16</v>
      </c>
      <c r="C182" s="44" t="s">
        <v>422</v>
      </c>
      <c r="G182" s="45"/>
      <c r="H182" s="45"/>
      <c r="I182" s="50" t="s">
        <v>598</v>
      </c>
      <c r="J182" s="51"/>
      <c r="K182" s="50" t="s">
        <v>580</v>
      </c>
    </row>
    <row r="183" spans="3:20" ht="15">
      <c r="C183" s="6"/>
      <c r="G183" s="45"/>
      <c r="H183" s="45"/>
      <c r="I183" s="52" t="s">
        <v>333</v>
      </c>
      <c r="J183" s="53"/>
      <c r="K183" s="52" t="s">
        <v>333</v>
      </c>
      <c r="T183" s="2">
        <f>-66558762</f>
        <v>-66558762</v>
      </c>
    </row>
    <row r="184" spans="1:20" s="75" customFormat="1" ht="15">
      <c r="A184" s="70"/>
      <c r="B184" s="71"/>
      <c r="C184" s="44" t="s">
        <v>332</v>
      </c>
      <c r="D184" s="71"/>
      <c r="E184" s="73"/>
      <c r="F184" s="74"/>
      <c r="G184" s="73"/>
      <c r="H184" s="73"/>
      <c r="I184" s="79">
        <f>'BẢNG CÂN ĐỐI KẾ TOÁN'!D70</f>
        <v>2040585031</v>
      </c>
      <c r="J184" s="59"/>
      <c r="K184" s="79">
        <v>7196282311</v>
      </c>
      <c r="L184" s="299"/>
      <c r="S184" s="299"/>
      <c r="T184" s="299">
        <f>429645512</f>
        <v>429645512</v>
      </c>
    </row>
    <row r="185" spans="1:20" s="32" customFormat="1" ht="15.75" thickBot="1">
      <c r="A185" s="42"/>
      <c r="B185" s="43"/>
      <c r="C185" s="44" t="s">
        <v>336</v>
      </c>
      <c r="G185" s="45"/>
      <c r="H185" s="45"/>
      <c r="I185" s="126">
        <f>SUM(I184:I184)</f>
        <v>2040585031</v>
      </c>
      <c r="J185" s="59"/>
      <c r="K185" s="126">
        <f>SUM(K184:K184)</f>
        <v>7196282311</v>
      </c>
      <c r="L185" s="40">
        <f>I185-'BẢNG CÂN ĐỐI KẾ TOÁN'!D70</f>
        <v>0</v>
      </c>
      <c r="S185" s="40">
        <f>I185-'BẢNG CÂN ĐỐI KẾ TOÁN'!D70</f>
        <v>0</v>
      </c>
      <c r="T185" s="40">
        <f>852623515</f>
        <v>852623515</v>
      </c>
    </row>
    <row r="186" spans="1:20" s="32" customFormat="1" ht="15.75" thickTop="1">
      <c r="A186" s="42"/>
      <c r="B186" s="43"/>
      <c r="C186" s="44"/>
      <c r="G186" s="45"/>
      <c r="H186" s="45"/>
      <c r="I186" s="61"/>
      <c r="J186" s="59"/>
      <c r="K186" s="61"/>
      <c r="L186" s="40"/>
      <c r="S186" s="40"/>
      <c r="T186" s="40">
        <f>339089243</f>
        <v>339089243</v>
      </c>
    </row>
    <row r="187" spans="1:20" ht="15">
      <c r="A187" s="42">
        <v>17</v>
      </c>
      <c r="C187" s="44" t="s">
        <v>423</v>
      </c>
      <c r="G187" s="45"/>
      <c r="H187" s="45"/>
      <c r="I187" s="50" t="s">
        <v>598</v>
      </c>
      <c r="J187" s="51"/>
      <c r="K187" s="50" t="s">
        <v>580</v>
      </c>
      <c r="T187" s="2">
        <f>SUM(T183:T186)</f>
        <v>1554799508</v>
      </c>
    </row>
    <row r="188" spans="7:20" ht="15">
      <c r="G188" s="45"/>
      <c r="H188" s="45"/>
      <c r="I188" s="52" t="s">
        <v>333</v>
      </c>
      <c r="J188" s="53"/>
      <c r="K188" s="52" t="s">
        <v>333</v>
      </c>
      <c r="T188" s="2">
        <f>T184+T185+T186</f>
        <v>1621358270</v>
      </c>
    </row>
    <row r="189" spans="1:20" s="75" customFormat="1" ht="15">
      <c r="A189" s="42"/>
      <c r="B189" s="43"/>
      <c r="C189" s="44" t="s">
        <v>332</v>
      </c>
      <c r="D189" s="71"/>
      <c r="E189" s="73"/>
      <c r="F189" s="74"/>
      <c r="G189" s="73"/>
      <c r="H189" s="73"/>
      <c r="I189" s="79">
        <f>'BẢNG CÂN ĐỐI KẾ TOÁN'!D71</f>
        <v>6915006995</v>
      </c>
      <c r="J189" s="59"/>
      <c r="K189" s="79">
        <v>9365365635</v>
      </c>
      <c r="L189" s="299"/>
      <c r="S189" s="299"/>
      <c r="T189" s="299"/>
    </row>
    <row r="190" spans="1:20" s="32" customFormat="1" ht="15.75" thickBot="1">
      <c r="A190" s="42"/>
      <c r="B190" s="43"/>
      <c r="C190" s="44" t="s">
        <v>336</v>
      </c>
      <c r="G190" s="45"/>
      <c r="H190" s="45"/>
      <c r="I190" s="309">
        <f>SUM(I189:I189)</f>
        <v>6915006995</v>
      </c>
      <c r="J190" s="59"/>
      <c r="K190" s="126">
        <f>SUM(K189:K189)</f>
        <v>9365365635</v>
      </c>
      <c r="L190" s="40">
        <f>I190-'BẢNG CÂN ĐỐI KẾ TOÁN'!D71</f>
        <v>0</v>
      </c>
      <c r="S190" s="40">
        <f>I190-'BẢNG CÂN ĐỐI KẾ TOÁN'!D71</f>
        <v>0</v>
      </c>
      <c r="T190" s="40"/>
    </row>
    <row r="191" spans="1:20" s="32" customFormat="1" ht="15.75" thickTop="1">
      <c r="A191" s="42"/>
      <c r="B191" s="43"/>
      <c r="C191" s="44"/>
      <c r="G191" s="45"/>
      <c r="H191" s="45"/>
      <c r="I191" s="61"/>
      <c r="J191" s="59"/>
      <c r="K191" s="61"/>
      <c r="L191" s="40"/>
      <c r="S191" s="40"/>
      <c r="T191" s="40"/>
    </row>
    <row r="192" spans="1:20" s="32" customFormat="1" ht="15">
      <c r="A192" s="42">
        <v>18</v>
      </c>
      <c r="B192" s="43"/>
      <c r="C192" s="44" t="s">
        <v>424</v>
      </c>
      <c r="G192" s="45"/>
      <c r="H192" s="45"/>
      <c r="I192" s="50" t="s">
        <v>598</v>
      </c>
      <c r="J192" s="51"/>
      <c r="K192" s="50" t="s">
        <v>580</v>
      </c>
      <c r="L192" s="40"/>
      <c r="S192" s="40"/>
      <c r="T192" s="40"/>
    </row>
    <row r="193" spans="3:11" ht="15">
      <c r="C193" s="44" t="s">
        <v>332</v>
      </c>
      <c r="G193" s="45"/>
      <c r="H193" s="45"/>
      <c r="I193" s="52" t="s">
        <v>333</v>
      </c>
      <c r="J193" s="53"/>
      <c r="K193" s="52" t="s">
        <v>333</v>
      </c>
    </row>
    <row r="194" spans="1:20" s="67" customFormat="1" ht="15">
      <c r="A194" s="160"/>
      <c r="B194" s="84"/>
      <c r="C194" s="55" t="s">
        <v>425</v>
      </c>
      <c r="D194" s="32"/>
      <c r="E194" s="32"/>
      <c r="F194" s="32"/>
      <c r="G194" s="45"/>
      <c r="H194" s="45"/>
      <c r="I194" s="79">
        <f>463519038+201928162</f>
        <v>665447200</v>
      </c>
      <c r="J194" s="59"/>
      <c r="K194" s="79">
        <v>463899246</v>
      </c>
      <c r="L194" s="297"/>
      <c r="S194" s="297"/>
      <c r="T194" s="297"/>
    </row>
    <row r="195" spans="1:20" s="67" customFormat="1" ht="15">
      <c r="A195" s="160"/>
      <c r="B195" s="84"/>
      <c r="C195" s="55" t="s">
        <v>426</v>
      </c>
      <c r="D195" s="32"/>
      <c r="E195" s="32"/>
      <c r="F195" s="32"/>
      <c r="G195" s="45"/>
      <c r="H195" s="45"/>
      <c r="I195" s="79">
        <f>1406545742</f>
        <v>1406545742</v>
      </c>
      <c r="J195" s="59"/>
      <c r="K195" s="79">
        <v>849120507</v>
      </c>
      <c r="L195" s="297"/>
      <c r="S195" s="297"/>
      <c r="T195" s="297"/>
    </row>
    <row r="196" spans="1:20" s="67" customFormat="1" ht="15">
      <c r="A196" s="160"/>
      <c r="B196" s="84"/>
      <c r="C196" s="55" t="s">
        <v>427</v>
      </c>
      <c r="D196" s="32"/>
      <c r="E196" s="32"/>
      <c r="F196" s="32"/>
      <c r="G196" s="45"/>
      <c r="H196" s="45"/>
      <c r="I196" s="79">
        <f>918605863+414487626+29331285</f>
        <v>1362424774</v>
      </c>
      <c r="J196" s="57"/>
      <c r="K196" s="79">
        <v>1523982724</v>
      </c>
      <c r="L196" s="297"/>
      <c r="S196" s="297"/>
      <c r="T196" s="297"/>
    </row>
    <row r="197" spans="1:20" s="32" customFormat="1" ht="15.75" thickBot="1">
      <c r="A197" s="42"/>
      <c r="B197" s="43"/>
      <c r="C197" s="44" t="s">
        <v>336</v>
      </c>
      <c r="G197" s="45"/>
      <c r="H197" s="45"/>
      <c r="I197" s="58">
        <f>I194+I195+I196</f>
        <v>3434417716</v>
      </c>
      <c r="J197" s="59"/>
      <c r="K197" s="58">
        <f>K194+K195+K196</f>
        <v>2837002477</v>
      </c>
      <c r="L197" s="40">
        <f>I197-'BẢNG CÂN ĐỐI KẾ TOÁN'!D74</f>
        <v>0</v>
      </c>
      <c r="S197" s="40">
        <f>I197-'BẢNG CÂN ĐỐI KẾ TOÁN'!D74</f>
        <v>0</v>
      </c>
      <c r="T197" s="40">
        <f>K197-'BẢNG CÂN ĐỐI KẾ TOÁN'!E74</f>
        <v>0</v>
      </c>
    </row>
    <row r="198" spans="3:11" ht="15.75" thickTop="1">
      <c r="C198" s="44"/>
      <c r="G198" s="45"/>
      <c r="H198" s="45"/>
      <c r="I198" s="60"/>
      <c r="J198" s="59"/>
      <c r="K198" s="61"/>
    </row>
    <row r="199" spans="1:11" ht="15">
      <c r="A199" s="49">
        <v>19</v>
      </c>
      <c r="C199" s="44" t="s">
        <v>428</v>
      </c>
      <c r="G199" s="45"/>
      <c r="H199" s="45"/>
      <c r="I199" s="50" t="s">
        <v>598</v>
      </c>
      <c r="J199" s="51"/>
      <c r="K199" s="50" t="s">
        <v>580</v>
      </c>
    </row>
    <row r="200" spans="1:11" ht="15">
      <c r="A200" s="6"/>
      <c r="B200" s="6"/>
      <c r="C200" s="6"/>
      <c r="G200" s="45"/>
      <c r="H200" s="45"/>
      <c r="I200" s="52" t="s">
        <v>333</v>
      </c>
      <c r="J200" s="53"/>
      <c r="K200" s="52" t="s">
        <v>333</v>
      </c>
    </row>
    <row r="201" spans="1:20" s="75" customFormat="1" ht="15">
      <c r="A201" s="49"/>
      <c r="B201" s="43"/>
      <c r="C201" s="44" t="s">
        <v>332</v>
      </c>
      <c r="D201" s="71"/>
      <c r="E201" s="73"/>
      <c r="F201" s="74"/>
      <c r="G201" s="73"/>
      <c r="H201" s="73"/>
      <c r="I201" s="79">
        <f>'BẢNG CÂN ĐỐI KẾ TOÁN'!D76</f>
        <v>144480066</v>
      </c>
      <c r="J201" s="59"/>
      <c r="K201" s="79">
        <f>2022662285-478206488-127963636</f>
        <v>1416492161</v>
      </c>
      <c r="L201" s="299"/>
      <c r="S201" s="299"/>
      <c r="T201" s="299"/>
    </row>
    <row r="202" spans="3:20" ht="15.75" thickBot="1">
      <c r="C202" s="44" t="s">
        <v>336</v>
      </c>
      <c r="G202" s="45"/>
      <c r="H202" s="45"/>
      <c r="I202" s="58">
        <f>SUM(I201:I201)</f>
        <v>144480066</v>
      </c>
      <c r="J202" s="59"/>
      <c r="K202" s="58">
        <f>SUM(K201:K201)</f>
        <v>1416492161</v>
      </c>
      <c r="L202" s="2">
        <f>I202-'BẢNG CÂN ĐỐI KẾ TOÁN'!D76</f>
        <v>0</v>
      </c>
      <c r="S202" s="2">
        <f>I202-'BẢNG CÂN ĐỐI KẾ TOÁN'!D76</f>
        <v>0</v>
      </c>
      <c r="T202" s="2">
        <f>K202-'BẢNG CÂN ĐỐI KẾ TOÁN'!E76</f>
        <v>0</v>
      </c>
    </row>
    <row r="203" spans="3:11" ht="15.75" thickTop="1">
      <c r="C203" s="44"/>
      <c r="G203" s="45"/>
      <c r="H203" s="45"/>
      <c r="I203" s="61"/>
      <c r="J203" s="59"/>
      <c r="K203" s="61"/>
    </row>
    <row r="204" spans="1:11" ht="15">
      <c r="A204" s="49">
        <v>20</v>
      </c>
      <c r="C204" s="44" t="s">
        <v>429</v>
      </c>
      <c r="G204" s="45"/>
      <c r="H204" s="45"/>
      <c r="I204" s="50" t="s">
        <v>598</v>
      </c>
      <c r="J204" s="51"/>
      <c r="K204" s="50" t="s">
        <v>580</v>
      </c>
    </row>
    <row r="205" spans="1:11" ht="15">
      <c r="A205" s="49"/>
      <c r="C205" s="44" t="s">
        <v>332</v>
      </c>
      <c r="G205" s="45"/>
      <c r="H205" s="45"/>
      <c r="I205" s="52" t="s">
        <v>333</v>
      </c>
      <c r="J205" s="53"/>
      <c r="K205" s="52" t="s">
        <v>333</v>
      </c>
    </row>
    <row r="206" spans="1:20" s="161" customFormat="1" ht="15">
      <c r="A206" s="42"/>
      <c r="B206" s="120"/>
      <c r="C206" s="33" t="s">
        <v>7</v>
      </c>
      <c r="D206" s="68"/>
      <c r="E206" s="68"/>
      <c r="F206" s="68"/>
      <c r="G206" s="68"/>
      <c r="H206" s="68"/>
      <c r="I206" s="61">
        <f>SUM(I207:I210)</f>
        <v>2920553530</v>
      </c>
      <c r="J206" s="59"/>
      <c r="K206" s="61">
        <f>SUM(K207:K210)</f>
        <v>3010553530</v>
      </c>
      <c r="L206" s="301">
        <f>I206-'BẢNG CÂN ĐỐI KẾ TOÁN'!D81</f>
        <v>0</v>
      </c>
      <c r="S206" s="301">
        <f>I206-'BẢNG CÂN ĐỐI KẾ TOÁN'!D81</f>
        <v>0</v>
      </c>
      <c r="T206" s="301">
        <f>K206-'BẢNG CÂN ĐỐI KẾ TOÁN'!E81</f>
        <v>0</v>
      </c>
    </row>
    <row r="207" spans="1:20" s="163" customFormat="1" ht="15">
      <c r="A207" s="42"/>
      <c r="B207" s="120"/>
      <c r="C207" s="72" t="s">
        <v>430</v>
      </c>
      <c r="D207" s="118"/>
      <c r="E207" s="118"/>
      <c r="F207" s="118"/>
      <c r="G207" s="162"/>
      <c r="H207" s="45"/>
      <c r="I207" s="79">
        <f>859000000</f>
        <v>859000000</v>
      </c>
      <c r="J207" s="79"/>
      <c r="K207" s="79">
        <f>--476053530</f>
        <v>476053530</v>
      </c>
      <c r="L207" s="300"/>
      <c r="S207" s="300"/>
      <c r="T207" s="300"/>
    </row>
    <row r="208" spans="1:20" s="163" customFormat="1" ht="15">
      <c r="A208" s="42"/>
      <c r="B208" s="120"/>
      <c r="C208" s="72" t="s">
        <v>431</v>
      </c>
      <c r="D208" s="118"/>
      <c r="E208" s="118"/>
      <c r="F208" s="118"/>
      <c r="G208" s="162"/>
      <c r="H208" s="45"/>
      <c r="I208" s="79">
        <f>1443750000</f>
        <v>1443750000</v>
      </c>
      <c r="J208" s="79"/>
      <c r="K208" s="79">
        <f>--1443750000</f>
        <v>1443750000</v>
      </c>
      <c r="L208" s="300"/>
      <c r="S208" s="300"/>
      <c r="T208" s="300"/>
    </row>
    <row r="209" spans="1:20" s="163" customFormat="1" ht="15">
      <c r="A209" s="42"/>
      <c r="B209" s="120"/>
      <c r="C209" s="72" t="s">
        <v>432</v>
      </c>
      <c r="D209" s="118"/>
      <c r="E209" s="118"/>
      <c r="F209" s="118"/>
      <c r="G209" s="162"/>
      <c r="H209" s="45"/>
      <c r="I209" s="79">
        <f>141750000</f>
        <v>141750000</v>
      </c>
      <c r="J209" s="79"/>
      <c r="K209" s="79">
        <f>--141750000</f>
        <v>141750000</v>
      </c>
      <c r="L209" s="300"/>
      <c r="S209" s="300"/>
      <c r="T209" s="300"/>
    </row>
    <row r="210" spans="1:20" s="163" customFormat="1" ht="15">
      <c r="A210" s="42"/>
      <c r="B210" s="120"/>
      <c r="C210" s="72" t="s">
        <v>408</v>
      </c>
      <c r="D210" s="118"/>
      <c r="E210" s="118"/>
      <c r="F210" s="118"/>
      <c r="G210" s="162"/>
      <c r="H210" s="45"/>
      <c r="I210" s="79">
        <f>476053530</f>
        <v>476053530</v>
      </c>
      <c r="J210" s="79"/>
      <c r="K210" s="79">
        <f>--949000000</f>
        <v>949000000</v>
      </c>
      <c r="L210" s="300"/>
      <c r="S210" s="300"/>
      <c r="T210" s="300"/>
    </row>
    <row r="211" spans="1:20" s="161" customFormat="1" ht="15">
      <c r="A211" s="42"/>
      <c r="B211" s="120"/>
      <c r="C211" s="44" t="s">
        <v>6</v>
      </c>
      <c r="D211" s="120"/>
      <c r="E211" s="120"/>
      <c r="F211" s="120"/>
      <c r="G211" s="162"/>
      <c r="H211" s="68"/>
      <c r="I211" s="61"/>
      <c r="J211" s="61"/>
      <c r="K211" s="61"/>
      <c r="L211" s="301"/>
      <c r="S211" s="301"/>
      <c r="T211" s="301"/>
    </row>
    <row r="212" spans="1:20" s="163" customFormat="1" ht="15.75" thickBot="1">
      <c r="A212" s="42"/>
      <c r="B212" s="120"/>
      <c r="C212" s="44" t="s">
        <v>336</v>
      </c>
      <c r="D212" s="32"/>
      <c r="E212" s="32"/>
      <c r="F212" s="32"/>
      <c r="G212" s="45"/>
      <c r="H212" s="45"/>
      <c r="I212" s="58">
        <f>SUM(I207:I211)</f>
        <v>2920553530</v>
      </c>
      <c r="J212" s="59"/>
      <c r="K212" s="58">
        <f>SUM(K207:K211)</f>
        <v>3010553530</v>
      </c>
      <c r="L212" s="300"/>
      <c r="S212" s="300">
        <f>I212-'BẢNG CÂN ĐỐI KẾ TOÁN'!D81</f>
        <v>0</v>
      </c>
      <c r="T212" s="300">
        <f>K212-'BẢNG CÂN ĐỐI KẾ TOÁN'!E81</f>
        <v>0</v>
      </c>
    </row>
    <row r="213" spans="1:20" s="163" customFormat="1" ht="15.75" thickTop="1">
      <c r="A213" s="42"/>
      <c r="B213" s="120"/>
      <c r="C213" s="44"/>
      <c r="D213" s="32"/>
      <c r="E213" s="32"/>
      <c r="F213" s="32"/>
      <c r="G213" s="45"/>
      <c r="H213" s="45"/>
      <c r="I213" s="61"/>
      <c r="J213" s="59"/>
      <c r="K213" s="61"/>
      <c r="L213" s="300"/>
      <c r="S213" s="300"/>
      <c r="T213" s="300"/>
    </row>
    <row r="214" spans="1:20" s="163" customFormat="1" ht="15">
      <c r="A214" s="42"/>
      <c r="B214" s="120"/>
      <c r="C214" s="44"/>
      <c r="D214" s="32"/>
      <c r="E214" s="32"/>
      <c r="F214" s="32"/>
      <c r="G214" s="45"/>
      <c r="H214" s="45"/>
      <c r="I214" s="61"/>
      <c r="J214" s="59"/>
      <c r="K214" s="61"/>
      <c r="L214" s="300"/>
      <c r="S214" s="300"/>
      <c r="T214" s="300"/>
    </row>
    <row r="215" spans="1:10" ht="15">
      <c r="A215" s="49">
        <v>21</v>
      </c>
      <c r="C215" s="44" t="s">
        <v>433</v>
      </c>
      <c r="G215" s="45"/>
      <c r="H215" s="45"/>
      <c r="I215" s="46"/>
      <c r="J215" s="45"/>
    </row>
    <row r="216" spans="1:20" s="173" customFormat="1" ht="15.75">
      <c r="A216" s="166"/>
      <c r="B216" s="167"/>
      <c r="C216" s="168" t="s">
        <v>332</v>
      </c>
      <c r="D216" s="169"/>
      <c r="E216" s="169"/>
      <c r="F216" s="169"/>
      <c r="G216" s="170"/>
      <c r="H216" s="170"/>
      <c r="I216" s="171"/>
      <c r="J216" s="170"/>
      <c r="K216" s="172" t="s">
        <v>434</v>
      </c>
      <c r="L216" s="302"/>
      <c r="S216" s="302"/>
      <c r="T216" s="302"/>
    </row>
    <row r="217" spans="1:20" s="173" customFormat="1" ht="15.75">
      <c r="A217" s="174" t="s">
        <v>435</v>
      </c>
      <c r="B217" s="167"/>
      <c r="C217" s="175" t="s">
        <v>436</v>
      </c>
      <c r="D217" s="176"/>
      <c r="E217" s="176"/>
      <c r="F217" s="176"/>
      <c r="G217" s="176"/>
      <c r="H217" s="176"/>
      <c r="I217" s="179"/>
      <c r="J217" s="176"/>
      <c r="K217" s="177"/>
      <c r="L217" s="302"/>
      <c r="S217" s="302"/>
      <c r="T217" s="302"/>
    </row>
    <row r="218" spans="1:20" s="173" customFormat="1" ht="15.75">
      <c r="A218" s="178" t="s">
        <v>437</v>
      </c>
      <c r="B218" s="167"/>
      <c r="C218" s="179" t="s">
        <v>8</v>
      </c>
      <c r="D218" s="176"/>
      <c r="E218" s="276" t="s">
        <v>603</v>
      </c>
      <c r="F218" s="176"/>
      <c r="G218" s="179" t="s">
        <v>438</v>
      </c>
      <c r="H218" s="176"/>
      <c r="I218" s="179" t="s">
        <v>439</v>
      </c>
      <c r="J218" s="176"/>
      <c r="K218" s="276" t="s">
        <v>23</v>
      </c>
      <c r="L218" s="302"/>
      <c r="S218" s="302"/>
      <c r="T218" s="302"/>
    </row>
    <row r="219" spans="1:20" s="173" customFormat="1" ht="15.75">
      <c r="A219" s="178"/>
      <c r="B219" s="169"/>
      <c r="C219" s="179" t="s">
        <v>440</v>
      </c>
      <c r="D219" s="180"/>
      <c r="E219" s="148">
        <v>80000000000</v>
      </c>
      <c r="F219" s="180"/>
      <c r="G219" s="148">
        <v>19989600000</v>
      </c>
      <c r="H219" s="148"/>
      <c r="I219" s="148"/>
      <c r="J219" s="176"/>
      <c r="K219" s="148">
        <f>E219+G219-I219</f>
        <v>99989600000</v>
      </c>
      <c r="L219" s="302"/>
      <c r="S219" s="302"/>
      <c r="T219" s="302"/>
    </row>
    <row r="220" spans="1:20" s="173" customFormat="1" ht="15.75">
      <c r="A220" s="178"/>
      <c r="B220" s="169"/>
      <c r="C220" s="179" t="s">
        <v>441</v>
      </c>
      <c r="D220" s="180"/>
      <c r="E220" s="148">
        <v>982166000</v>
      </c>
      <c r="F220" s="180"/>
      <c r="G220" s="148"/>
      <c r="H220" s="148"/>
      <c r="I220" s="148"/>
      <c r="J220" s="176"/>
      <c r="K220" s="148">
        <f>E220+G220-I220</f>
        <v>982166000</v>
      </c>
      <c r="L220" s="302"/>
      <c r="S220" s="302"/>
      <c r="T220" s="302"/>
    </row>
    <row r="221" spans="1:20" s="173" customFormat="1" ht="15.75">
      <c r="A221" s="178"/>
      <c r="B221" s="169"/>
      <c r="C221" s="179" t="s">
        <v>442</v>
      </c>
      <c r="D221" s="180"/>
      <c r="E221" s="148">
        <v>19749609253</v>
      </c>
      <c r="F221" s="180"/>
      <c r="G221" s="148">
        <v>1010102173</v>
      </c>
      <c r="H221" s="148"/>
      <c r="I221" s="148">
        <v>5600000000</v>
      </c>
      <c r="J221" s="176"/>
      <c r="K221" s="148">
        <f>E221+G221-I221</f>
        <v>15159711426</v>
      </c>
      <c r="L221" s="302"/>
      <c r="S221" s="302"/>
      <c r="T221" s="302"/>
    </row>
    <row r="222" spans="1:20" s="173" customFormat="1" ht="15.75">
      <c r="A222" s="178"/>
      <c r="B222" s="169"/>
      <c r="C222" s="179" t="s">
        <v>443</v>
      </c>
      <c r="D222" s="180"/>
      <c r="E222" s="148">
        <v>2296548816</v>
      </c>
      <c r="F222" s="180"/>
      <c r="G222" s="148">
        <v>999702173</v>
      </c>
      <c r="H222" s="148"/>
      <c r="I222" s="148"/>
      <c r="J222" s="176"/>
      <c r="K222" s="148">
        <f>E222+G222-I222</f>
        <v>3296250989</v>
      </c>
      <c r="L222" s="302"/>
      <c r="S222" s="302"/>
      <c r="T222" s="302"/>
    </row>
    <row r="223" spans="1:20" s="173" customFormat="1" ht="16.5" thickBot="1">
      <c r="A223" s="178"/>
      <c r="B223" s="169"/>
      <c r="C223" s="179" t="s">
        <v>584</v>
      </c>
      <c r="D223" s="180"/>
      <c r="E223" s="181">
        <v>33149233467</v>
      </c>
      <c r="F223" s="182"/>
      <c r="G223" s="181">
        <v>718442940</v>
      </c>
      <c r="H223" s="180"/>
      <c r="I223" s="182">
        <v>17720313297</v>
      </c>
      <c r="J223" s="57"/>
      <c r="K223" s="181">
        <f>E223+G223-I223</f>
        <v>16147363110</v>
      </c>
      <c r="L223" s="302"/>
      <c r="S223" s="302"/>
      <c r="T223" s="302"/>
    </row>
    <row r="224" spans="1:20" s="173" customFormat="1" ht="21.75" customHeight="1" thickTop="1">
      <c r="A224" s="166"/>
      <c r="B224" s="167"/>
      <c r="C224" s="172" t="s">
        <v>444</v>
      </c>
      <c r="D224" s="183"/>
      <c r="E224" s="277">
        <f>SUM(E219:E223)</f>
        <v>136177557536</v>
      </c>
      <c r="F224" s="183"/>
      <c r="G224" s="184">
        <f>SUM(G219:G223)</f>
        <v>22717847286</v>
      </c>
      <c r="H224" s="184">
        <f>SUM(H219:H223)</f>
        <v>0</v>
      </c>
      <c r="I224" s="184">
        <f>SUM(I219:I223)</f>
        <v>23320313297</v>
      </c>
      <c r="J224" s="184">
        <f>SUM(J219:J223)</f>
        <v>0</v>
      </c>
      <c r="K224" s="184">
        <f>SUM(K219:K223)</f>
        <v>135575091525</v>
      </c>
      <c r="L224" s="302"/>
      <c r="S224" s="302"/>
      <c r="T224" s="302"/>
    </row>
    <row r="225" spans="1:20" s="173" customFormat="1" ht="13.5" customHeight="1">
      <c r="A225" s="166"/>
      <c r="B225" s="167"/>
      <c r="C225" s="172"/>
      <c r="D225" s="183"/>
      <c r="E225" s="184"/>
      <c r="F225" s="183"/>
      <c r="G225" s="184"/>
      <c r="H225" s="184"/>
      <c r="I225" s="184"/>
      <c r="J225" s="184"/>
      <c r="K225" s="184"/>
      <c r="L225" s="302"/>
      <c r="S225" s="302"/>
      <c r="T225" s="302"/>
    </row>
    <row r="226" spans="1:20" s="173" customFormat="1" ht="15.75">
      <c r="A226" s="178" t="s">
        <v>445</v>
      </c>
      <c r="B226" s="169"/>
      <c r="C226" s="179" t="s">
        <v>9</v>
      </c>
      <c r="D226" s="176"/>
      <c r="E226" s="335" t="s">
        <v>583</v>
      </c>
      <c r="F226" s="336"/>
      <c r="G226" s="335" t="s">
        <v>438</v>
      </c>
      <c r="H226" s="336"/>
      <c r="I226" s="335" t="s">
        <v>439</v>
      </c>
      <c r="J226" s="336"/>
      <c r="K226" s="335" t="s">
        <v>606</v>
      </c>
      <c r="L226" s="302"/>
      <c r="S226" s="302"/>
      <c r="T226" s="302"/>
    </row>
    <row r="227" spans="1:20" s="173" customFormat="1" ht="15.75">
      <c r="A227" s="178"/>
      <c r="B227" s="169"/>
      <c r="C227" s="179" t="s">
        <v>440</v>
      </c>
      <c r="D227" s="180"/>
      <c r="E227" s="148">
        <f>K219</f>
        <v>99989600000</v>
      </c>
      <c r="F227" s="180"/>
      <c r="G227" s="148">
        <v>24979690000</v>
      </c>
      <c r="H227" s="148"/>
      <c r="I227" s="148"/>
      <c r="J227" s="176"/>
      <c r="K227" s="148">
        <f>E227+G227-I227</f>
        <v>124969290000</v>
      </c>
      <c r="L227" s="302"/>
      <c r="S227" s="302">
        <f>124969290000-K227</f>
        <v>0</v>
      </c>
      <c r="T227" s="302"/>
    </row>
    <row r="228" spans="1:20" s="173" customFormat="1" ht="15.75">
      <c r="A228" s="178"/>
      <c r="B228" s="169"/>
      <c r="C228" s="179" t="s">
        <v>441</v>
      </c>
      <c r="D228" s="180"/>
      <c r="E228" s="148">
        <f>K220</f>
        <v>982166000</v>
      </c>
      <c r="F228" s="180"/>
      <c r="G228" s="148"/>
      <c r="H228" s="148"/>
      <c r="I228" s="148"/>
      <c r="J228" s="176"/>
      <c r="K228" s="148">
        <f>E228+G228-I228</f>
        <v>982166000</v>
      </c>
      <c r="L228" s="302"/>
      <c r="S228" s="302"/>
      <c r="T228" s="302"/>
    </row>
    <row r="229" spans="1:20" s="173" customFormat="1" ht="15.75">
      <c r="A229" s="178"/>
      <c r="B229" s="169"/>
      <c r="C229" s="179" t="s">
        <v>442</v>
      </c>
      <c r="D229" s="180"/>
      <c r="E229" s="148">
        <f>K221</f>
        <v>15159711426</v>
      </c>
      <c r="F229" s="180"/>
      <c r="G229" s="148"/>
      <c r="H229" s="148"/>
      <c r="I229" s="148">
        <v>9990534500</v>
      </c>
      <c r="J229" s="176"/>
      <c r="K229" s="148">
        <f>E229+G229-I229</f>
        <v>5169176926</v>
      </c>
      <c r="L229" s="302"/>
      <c r="S229" s="302"/>
      <c r="T229" s="302"/>
    </row>
    <row r="230" spans="1:20" s="173" customFormat="1" ht="15.75">
      <c r="A230" s="178"/>
      <c r="B230" s="169"/>
      <c r="C230" s="179" t="s">
        <v>443</v>
      </c>
      <c r="D230" s="180"/>
      <c r="E230" s="148">
        <f>K222</f>
        <v>3296250989</v>
      </c>
      <c r="F230" s="180"/>
      <c r="G230" s="148"/>
      <c r="H230" s="148"/>
      <c r="I230" s="148"/>
      <c r="J230" s="176"/>
      <c r="K230" s="148">
        <f>E230+G230-I230</f>
        <v>3296250989</v>
      </c>
      <c r="L230" s="302"/>
      <c r="S230" s="302"/>
      <c r="T230" s="302"/>
    </row>
    <row r="231" spans="1:20" s="173" customFormat="1" ht="25.5" customHeight="1" thickBot="1">
      <c r="A231" s="178"/>
      <c r="B231" s="169"/>
      <c r="C231" s="276" t="s">
        <v>584</v>
      </c>
      <c r="D231" s="180"/>
      <c r="E231" s="325">
        <f>K223</f>
        <v>16147363110</v>
      </c>
      <c r="F231" s="325"/>
      <c r="G231" s="325">
        <v>4864074810</v>
      </c>
      <c r="H231" s="180"/>
      <c r="I231" s="325">
        <f>14998440000+77067699</f>
        <v>15075507699</v>
      </c>
      <c r="J231" s="57"/>
      <c r="K231" s="181">
        <f>E231+G231-I231</f>
        <v>5935930221</v>
      </c>
      <c r="L231" s="302">
        <f>K231-'BẢNG CÂN ĐỐI KẾ TOÁN'!D98</f>
        <v>0</v>
      </c>
      <c r="S231" s="302">
        <f>K231-'BẢNG CÂN ĐỐI KẾ TOÁN'!D98</f>
        <v>0</v>
      </c>
      <c r="T231" s="302"/>
    </row>
    <row r="232" spans="1:20" s="173" customFormat="1" ht="24" customHeight="1" thickTop="1">
      <c r="A232" s="166"/>
      <c r="B232" s="167"/>
      <c r="C232" s="172" t="s">
        <v>444</v>
      </c>
      <c r="D232" s="183"/>
      <c r="E232" s="184">
        <f>SUM(E227:E231)</f>
        <v>135575091525</v>
      </c>
      <c r="F232" s="183"/>
      <c r="G232" s="184">
        <f>SUM(G227:G231)</f>
        <v>29843764810</v>
      </c>
      <c r="H232" s="184">
        <f>SUM(H227:H231)</f>
        <v>0</v>
      </c>
      <c r="I232" s="184">
        <f>SUM(I227:I231)</f>
        <v>25066042199</v>
      </c>
      <c r="J232" s="184">
        <f>SUM(J227:J231)</f>
        <v>0</v>
      </c>
      <c r="K232" s="184">
        <f>SUM(K227:K231)</f>
        <v>140352814136</v>
      </c>
      <c r="L232" s="302"/>
      <c r="S232" s="302"/>
      <c r="T232" s="302"/>
    </row>
    <row r="233" spans="1:20" s="173" customFormat="1" ht="15.75">
      <c r="A233" s="166">
        <v>21.2</v>
      </c>
      <c r="B233" s="167"/>
      <c r="C233" s="185" t="s">
        <v>446</v>
      </c>
      <c r="D233" s="176"/>
      <c r="E233" s="176"/>
      <c r="F233" s="176"/>
      <c r="G233" s="186"/>
      <c r="H233" s="176"/>
      <c r="I233" s="50" t="s">
        <v>598</v>
      </c>
      <c r="J233" s="51"/>
      <c r="K233" s="50" t="s">
        <v>580</v>
      </c>
      <c r="L233" s="302"/>
      <c r="S233" s="302"/>
      <c r="T233" s="302"/>
    </row>
    <row r="234" spans="1:20" s="173" customFormat="1" ht="15.75">
      <c r="A234" s="166"/>
      <c r="B234" s="167"/>
      <c r="C234" s="168" t="s">
        <v>332</v>
      </c>
      <c r="D234" s="176"/>
      <c r="E234" s="176"/>
      <c r="F234" s="176"/>
      <c r="G234" s="176"/>
      <c r="H234" s="176"/>
      <c r="I234" s="188" t="s">
        <v>333</v>
      </c>
      <c r="J234" s="189"/>
      <c r="K234" s="188" t="s">
        <v>333</v>
      </c>
      <c r="L234" s="302"/>
      <c r="S234" s="302"/>
      <c r="T234" s="302"/>
    </row>
    <row r="235" spans="1:20" s="173" customFormat="1" ht="15.75">
      <c r="A235" s="166"/>
      <c r="B235" s="167"/>
      <c r="C235" s="179" t="s">
        <v>447</v>
      </c>
      <c r="D235" s="176"/>
      <c r="E235" s="176"/>
      <c r="F235" s="176"/>
      <c r="G235" s="176"/>
      <c r="H235" s="176"/>
      <c r="I235" s="148">
        <v>31934750000</v>
      </c>
      <c r="K235" s="148">
        <v>25547800000</v>
      </c>
      <c r="L235" s="302"/>
      <c r="S235" s="302"/>
      <c r="T235" s="302"/>
    </row>
    <row r="236" spans="1:20" s="173" customFormat="1" ht="16.5" thickBot="1">
      <c r="A236" s="166"/>
      <c r="B236" s="167"/>
      <c r="C236" s="179" t="s">
        <v>448</v>
      </c>
      <c r="D236" s="176"/>
      <c r="E236" s="176"/>
      <c r="F236" s="176"/>
      <c r="G236" s="176"/>
      <c r="H236" s="176"/>
      <c r="I236" s="181">
        <f>I237-I235</f>
        <v>93034540000</v>
      </c>
      <c r="J236" s="57"/>
      <c r="K236" s="181">
        <f>99989600000-K235</f>
        <v>74441800000</v>
      </c>
      <c r="L236" s="302"/>
      <c r="S236" s="302"/>
      <c r="T236" s="302"/>
    </row>
    <row r="237" spans="1:20" s="173" customFormat="1" ht="16.5" thickTop="1">
      <c r="A237" s="166"/>
      <c r="B237" s="167"/>
      <c r="C237" s="172" t="s">
        <v>444</v>
      </c>
      <c r="D237" s="176"/>
      <c r="E237" s="176"/>
      <c r="F237" s="176"/>
      <c r="G237" s="176"/>
      <c r="H237" s="176"/>
      <c r="I237" s="148">
        <v>124969290000</v>
      </c>
      <c r="J237" s="176"/>
      <c r="K237" s="148">
        <f>SUM(K235:K236)</f>
        <v>99989600000</v>
      </c>
      <c r="L237" s="302"/>
      <c r="S237" s="302"/>
      <c r="T237" s="302"/>
    </row>
    <row r="238" spans="1:20" s="173" customFormat="1" ht="15.75">
      <c r="A238" s="166"/>
      <c r="B238" s="167"/>
      <c r="C238" s="172"/>
      <c r="D238" s="176"/>
      <c r="E238" s="176"/>
      <c r="F238" s="176"/>
      <c r="G238" s="176"/>
      <c r="H238" s="176"/>
      <c r="I238" s="148"/>
      <c r="J238" s="176"/>
      <c r="K238" s="148"/>
      <c r="L238" s="302"/>
      <c r="S238" s="302"/>
      <c r="T238" s="302"/>
    </row>
    <row r="239" spans="1:20" s="173" customFormat="1" ht="34.5" customHeight="1">
      <c r="A239" s="166">
        <v>21.3</v>
      </c>
      <c r="B239" s="167"/>
      <c r="C239" s="353" t="s">
        <v>449</v>
      </c>
      <c r="D239" s="353"/>
      <c r="E239" s="353"/>
      <c r="F239" s="353"/>
      <c r="G239" s="353"/>
      <c r="H239" s="176"/>
      <c r="I239" s="50" t="s">
        <v>598</v>
      </c>
      <c r="J239" s="51"/>
      <c r="K239" s="50" t="s">
        <v>580</v>
      </c>
      <c r="L239" s="302"/>
      <c r="S239" s="302"/>
      <c r="T239" s="302"/>
    </row>
    <row r="240" spans="1:20" s="173" customFormat="1" ht="15.75">
      <c r="A240" s="166"/>
      <c r="B240" s="167"/>
      <c r="C240" s="168" t="s">
        <v>332</v>
      </c>
      <c r="D240" s="176"/>
      <c r="E240" s="176"/>
      <c r="F240" s="176"/>
      <c r="G240" s="176"/>
      <c r="H240" s="176"/>
      <c r="I240" s="188" t="s">
        <v>333</v>
      </c>
      <c r="J240" s="189"/>
      <c r="K240" s="188" t="s">
        <v>333</v>
      </c>
      <c r="L240" s="302"/>
      <c r="S240" s="302"/>
      <c r="T240" s="302"/>
    </row>
    <row r="241" spans="1:20" s="173" customFormat="1" ht="15.75">
      <c r="A241" s="166"/>
      <c r="B241" s="167"/>
      <c r="C241" s="190" t="s">
        <v>10</v>
      </c>
      <c r="D241" s="176"/>
      <c r="E241" s="176"/>
      <c r="F241" s="176"/>
      <c r="G241" s="176"/>
      <c r="H241" s="176"/>
      <c r="I241" s="148">
        <f>K244</f>
        <v>99989600000</v>
      </c>
      <c r="J241" s="148"/>
      <c r="K241" s="148">
        <v>99989600000</v>
      </c>
      <c r="L241" s="302"/>
      <c r="S241" s="302"/>
      <c r="T241" s="302"/>
    </row>
    <row r="242" spans="1:20" s="173" customFormat="1" ht="15.75">
      <c r="A242" s="166"/>
      <c r="B242" s="167"/>
      <c r="C242" s="190" t="s">
        <v>11</v>
      </c>
      <c r="D242" s="176"/>
      <c r="E242" s="176"/>
      <c r="F242" s="176"/>
      <c r="G242" s="176"/>
      <c r="H242" s="176"/>
      <c r="I242" s="148">
        <f>I237-I241</f>
        <v>24979690000</v>
      </c>
      <c r="J242" s="148"/>
      <c r="K242" s="148"/>
      <c r="L242" s="302"/>
      <c r="S242" s="302"/>
      <c r="T242" s="302"/>
    </row>
    <row r="243" spans="1:20" s="173" customFormat="1" ht="15.75">
      <c r="A243" s="166"/>
      <c r="B243" s="167"/>
      <c r="C243" s="190" t="s">
        <v>12</v>
      </c>
      <c r="D243" s="176"/>
      <c r="E243" s="176"/>
      <c r="F243" s="176"/>
      <c r="G243" s="176"/>
      <c r="H243" s="176"/>
      <c r="I243" s="148"/>
      <c r="J243" s="148"/>
      <c r="K243" s="148"/>
      <c r="L243" s="302"/>
      <c r="S243" s="302"/>
      <c r="T243" s="302"/>
    </row>
    <row r="244" spans="1:20" s="173" customFormat="1" ht="16.5" thickBot="1">
      <c r="A244" s="166"/>
      <c r="B244" s="167"/>
      <c r="C244" s="190" t="s">
        <v>13</v>
      </c>
      <c r="D244" s="176"/>
      <c r="E244" s="176"/>
      <c r="F244" s="176"/>
      <c r="G244" s="176"/>
      <c r="H244" s="176"/>
      <c r="I244" s="181">
        <f>I241+I242-I243</f>
        <v>124969290000</v>
      </c>
      <c r="J244" s="57"/>
      <c r="K244" s="181">
        <f>K241+K242-K243</f>
        <v>99989600000</v>
      </c>
      <c r="L244" s="302"/>
      <c r="S244" s="302"/>
      <c r="T244" s="302"/>
    </row>
    <row r="245" spans="1:20" s="173" customFormat="1" ht="16.5" thickTop="1">
      <c r="A245" s="166">
        <v>21.4</v>
      </c>
      <c r="B245" s="167"/>
      <c r="C245" s="192" t="s">
        <v>450</v>
      </c>
      <c r="D245" s="176"/>
      <c r="E245" s="176"/>
      <c r="F245" s="176"/>
      <c r="G245" s="176"/>
      <c r="H245" s="176"/>
      <c r="I245" s="50" t="s">
        <v>598</v>
      </c>
      <c r="J245" s="51"/>
      <c r="K245" s="50" t="s">
        <v>580</v>
      </c>
      <c r="L245" s="302"/>
      <c r="S245" s="302"/>
      <c r="T245" s="302"/>
    </row>
    <row r="246" spans="1:20" s="173" customFormat="1" ht="15.75">
      <c r="A246" s="166"/>
      <c r="B246" s="167"/>
      <c r="C246" s="168" t="s">
        <v>332</v>
      </c>
      <c r="D246" s="176"/>
      <c r="E246" s="176"/>
      <c r="F246" s="176"/>
      <c r="G246" s="176"/>
      <c r="H246" s="176"/>
      <c r="I246" s="188" t="s">
        <v>333</v>
      </c>
      <c r="J246" s="189"/>
      <c r="K246" s="188" t="s">
        <v>333</v>
      </c>
      <c r="L246" s="302"/>
      <c r="S246" s="302"/>
      <c r="T246" s="302"/>
    </row>
    <row r="247" spans="1:20" s="173" customFormat="1" ht="15.75">
      <c r="A247" s="166"/>
      <c r="B247" s="167"/>
      <c r="C247" s="179" t="s">
        <v>451</v>
      </c>
      <c r="D247" s="176"/>
      <c r="E247" s="176"/>
      <c r="F247" s="176"/>
      <c r="G247" s="176"/>
      <c r="H247" s="176"/>
      <c r="I247" s="184">
        <v>12496929</v>
      </c>
      <c r="J247" s="193"/>
      <c r="K247" s="184">
        <f>K248</f>
        <v>9989960</v>
      </c>
      <c r="L247" s="302"/>
      <c r="S247" s="302"/>
      <c r="T247" s="302"/>
    </row>
    <row r="248" spans="1:20" s="173" customFormat="1" ht="15.75">
      <c r="A248" s="166"/>
      <c r="B248" s="167"/>
      <c r="C248" s="179" t="s">
        <v>452</v>
      </c>
      <c r="D248" s="176"/>
      <c r="E248" s="176"/>
      <c r="F248" s="176"/>
      <c r="G248" s="176"/>
      <c r="H248" s="176"/>
      <c r="I248" s="194">
        <f>I249</f>
        <v>12496929</v>
      </c>
      <c r="J248" s="195"/>
      <c r="K248" s="194">
        <v>9989960</v>
      </c>
      <c r="L248" s="302"/>
      <c r="S248" s="302"/>
      <c r="T248" s="302"/>
    </row>
    <row r="249" spans="1:20" s="173" customFormat="1" ht="15.75">
      <c r="A249" s="166"/>
      <c r="B249" s="167"/>
      <c r="C249" s="179" t="s">
        <v>453</v>
      </c>
      <c r="D249" s="176"/>
      <c r="E249" s="176"/>
      <c r="F249" s="176"/>
      <c r="G249" s="176"/>
      <c r="H249" s="176"/>
      <c r="I249" s="194">
        <v>12496929</v>
      </c>
      <c r="J249" s="195"/>
      <c r="K249" s="194">
        <v>9989960</v>
      </c>
      <c r="L249" s="302"/>
      <c r="S249" s="302"/>
      <c r="T249" s="302"/>
    </row>
    <row r="250" spans="1:20" s="173" customFormat="1" ht="15.75">
      <c r="A250" s="166"/>
      <c r="B250" s="167"/>
      <c r="C250" s="179" t="s">
        <v>454</v>
      </c>
      <c r="D250" s="176"/>
      <c r="E250" s="176"/>
      <c r="F250" s="176"/>
      <c r="G250" s="176"/>
      <c r="H250" s="176"/>
      <c r="I250" s="194">
        <f>K250</f>
        <v>0</v>
      </c>
      <c r="J250" s="195"/>
      <c r="K250" s="196"/>
      <c r="L250" s="302"/>
      <c r="S250" s="302"/>
      <c r="T250" s="302"/>
    </row>
    <row r="251" spans="1:20" s="173" customFormat="1" ht="15.75">
      <c r="A251" s="166"/>
      <c r="B251" s="167"/>
      <c r="C251" s="179" t="s">
        <v>455</v>
      </c>
      <c r="D251" s="176"/>
      <c r="E251" s="176"/>
      <c r="F251" s="176"/>
      <c r="G251" s="176"/>
      <c r="H251" s="176"/>
      <c r="I251" s="194"/>
      <c r="J251" s="195"/>
      <c r="K251" s="196"/>
      <c r="L251" s="302"/>
      <c r="S251" s="302"/>
      <c r="T251" s="302"/>
    </row>
    <row r="252" spans="1:20" s="173" customFormat="1" ht="15.75">
      <c r="A252" s="166"/>
      <c r="B252" s="167"/>
      <c r="C252" s="179" t="s">
        <v>453</v>
      </c>
      <c r="D252" s="176"/>
      <c r="E252" s="176"/>
      <c r="F252" s="176"/>
      <c r="G252" s="176"/>
      <c r="H252" s="176"/>
      <c r="I252" s="194"/>
      <c r="J252" s="195"/>
      <c r="K252" s="196"/>
      <c r="L252" s="302"/>
      <c r="S252" s="302"/>
      <c r="T252" s="302"/>
    </row>
    <row r="253" spans="1:20" s="173" customFormat="1" ht="15.75">
      <c r="A253" s="166"/>
      <c r="B253" s="167"/>
      <c r="C253" s="179" t="s">
        <v>454</v>
      </c>
      <c r="D253" s="176"/>
      <c r="E253" s="176"/>
      <c r="F253" s="176"/>
      <c r="G253" s="176"/>
      <c r="H253" s="176"/>
      <c r="I253" s="194"/>
      <c r="J253" s="195"/>
      <c r="K253" s="196"/>
      <c r="L253" s="302"/>
      <c r="S253" s="302"/>
      <c r="T253" s="302"/>
    </row>
    <row r="254" spans="1:20" s="173" customFormat="1" ht="15.75">
      <c r="A254" s="166"/>
      <c r="B254" s="167"/>
      <c r="C254" s="179" t="s">
        <v>456</v>
      </c>
      <c r="D254" s="176"/>
      <c r="E254" s="176"/>
      <c r="F254" s="176"/>
      <c r="G254" s="176"/>
      <c r="H254" s="176"/>
      <c r="I254" s="194">
        <f>I255</f>
        <v>12496929</v>
      </c>
      <c r="J254" s="195"/>
      <c r="K254" s="196">
        <f>K255</f>
        <v>9989960</v>
      </c>
      <c r="L254" s="302"/>
      <c r="S254" s="302"/>
      <c r="T254" s="302"/>
    </row>
    <row r="255" spans="1:20" s="173" customFormat="1" ht="15.75">
      <c r="A255" s="166"/>
      <c r="B255" s="167"/>
      <c r="C255" s="179" t="s">
        <v>453</v>
      </c>
      <c r="D255" s="176"/>
      <c r="E255" s="176"/>
      <c r="F255" s="176"/>
      <c r="G255" s="176"/>
      <c r="H255" s="176"/>
      <c r="I255" s="194">
        <f>I249</f>
        <v>12496929</v>
      </c>
      <c r="J255" s="195"/>
      <c r="K255" s="194">
        <f>K249</f>
        <v>9989960</v>
      </c>
      <c r="L255" s="302"/>
      <c r="S255" s="302"/>
      <c r="T255" s="302"/>
    </row>
    <row r="256" spans="1:20" s="173" customFormat="1" ht="15.75">
      <c r="A256" s="166"/>
      <c r="B256" s="167"/>
      <c r="C256" s="179" t="s">
        <v>454</v>
      </c>
      <c r="D256" s="169"/>
      <c r="E256" s="169"/>
      <c r="F256" s="169"/>
      <c r="G256" s="170"/>
      <c r="H256" s="170"/>
      <c r="I256" s="171"/>
      <c r="J256" s="170"/>
      <c r="K256" s="191"/>
      <c r="L256" s="302"/>
      <c r="S256" s="302"/>
      <c r="T256" s="302"/>
    </row>
    <row r="257" spans="1:20" s="173" customFormat="1" ht="15.75">
      <c r="A257" s="166"/>
      <c r="B257" s="167"/>
      <c r="C257" s="125" t="s">
        <v>457</v>
      </c>
      <c r="D257" s="169"/>
      <c r="E257" s="169"/>
      <c r="F257" s="169"/>
      <c r="G257" s="170"/>
      <c r="H257" s="170"/>
      <c r="I257" s="171"/>
      <c r="J257" s="170"/>
      <c r="K257" s="191"/>
      <c r="L257" s="302"/>
      <c r="S257" s="302"/>
      <c r="T257" s="302"/>
    </row>
    <row r="258" spans="1:20" s="173" customFormat="1" ht="15.75">
      <c r="A258" s="166">
        <v>21.5</v>
      </c>
      <c r="B258" s="167"/>
      <c r="C258" s="192" t="s">
        <v>458</v>
      </c>
      <c r="D258" s="169"/>
      <c r="E258" s="169"/>
      <c r="F258" s="169"/>
      <c r="G258" s="170"/>
      <c r="H258" s="170"/>
      <c r="I258" s="50" t="s">
        <v>598</v>
      </c>
      <c r="J258" s="51"/>
      <c r="K258" s="50" t="s">
        <v>580</v>
      </c>
      <c r="L258" s="302"/>
      <c r="S258" s="302"/>
      <c r="T258" s="302"/>
    </row>
    <row r="259" spans="1:20" s="173" customFormat="1" ht="15.75">
      <c r="A259" s="166"/>
      <c r="B259" s="167"/>
      <c r="C259" s="168" t="s">
        <v>332</v>
      </c>
      <c r="D259" s="169"/>
      <c r="E259" s="169"/>
      <c r="F259" s="169"/>
      <c r="G259" s="170"/>
      <c r="H259" s="170"/>
      <c r="I259" s="188" t="s">
        <v>333</v>
      </c>
      <c r="J259" s="189"/>
      <c r="K259" s="188" t="s">
        <v>333</v>
      </c>
      <c r="L259" s="302"/>
      <c r="S259" s="302"/>
      <c r="T259" s="302"/>
    </row>
    <row r="260" spans="1:20" s="173" customFormat="1" ht="15.75">
      <c r="A260" s="166"/>
      <c r="B260" s="167"/>
      <c r="C260" s="179" t="s">
        <v>459</v>
      </c>
      <c r="D260" s="169"/>
      <c r="E260" s="169"/>
      <c r="F260" s="169"/>
      <c r="G260" s="170"/>
      <c r="H260" s="170"/>
      <c r="I260" s="196">
        <f>'BẢNG CÂN ĐỐI KẾ TOÁN'!D95</f>
        <v>5169176926</v>
      </c>
      <c r="J260" s="170"/>
      <c r="K260" s="196">
        <f>I260</f>
        <v>5169176926</v>
      </c>
      <c r="L260" s="302"/>
      <c r="S260" s="302"/>
      <c r="T260" s="302"/>
    </row>
    <row r="261" spans="1:20" s="173" customFormat="1" ht="15.75">
      <c r="A261" s="166"/>
      <c r="B261" s="167"/>
      <c r="C261" s="179" t="s">
        <v>460</v>
      </c>
      <c r="D261" s="169"/>
      <c r="E261" s="169"/>
      <c r="F261" s="169"/>
      <c r="G261" s="170"/>
      <c r="H261" s="170"/>
      <c r="I261" s="196">
        <f>K230</f>
        <v>3296250989</v>
      </c>
      <c r="J261" s="170"/>
      <c r="K261" s="196">
        <f>I261</f>
        <v>3296250989</v>
      </c>
      <c r="L261" s="302"/>
      <c r="S261" s="302"/>
      <c r="T261" s="302"/>
    </row>
    <row r="262" spans="1:20" s="173" customFormat="1" ht="16.5" thickBot="1">
      <c r="A262" s="166"/>
      <c r="B262" s="167"/>
      <c r="C262" s="179" t="s">
        <v>461</v>
      </c>
      <c r="D262" s="169"/>
      <c r="E262" s="169"/>
      <c r="F262" s="169"/>
      <c r="G262" s="170"/>
      <c r="H262" s="170"/>
      <c r="I262" s="58"/>
      <c r="J262" s="59"/>
      <c r="K262" s="197"/>
      <c r="L262" s="302"/>
      <c r="S262" s="302"/>
      <c r="T262" s="302"/>
    </row>
    <row r="263" spans="1:20" s="173" customFormat="1" ht="16.5" thickTop="1">
      <c r="A263" s="166"/>
      <c r="B263" s="167"/>
      <c r="C263" s="172" t="s">
        <v>444</v>
      </c>
      <c r="D263" s="169"/>
      <c r="E263" s="169"/>
      <c r="F263" s="169"/>
      <c r="G263" s="170"/>
      <c r="H263" s="170"/>
      <c r="I263" s="198">
        <f>SUM(I260:I262)</f>
        <v>8465427915</v>
      </c>
      <c r="J263" s="199"/>
      <c r="K263" s="198">
        <f>SUM(K260:K262)</f>
        <v>8465427915</v>
      </c>
      <c r="L263" s="302"/>
      <c r="S263" s="302"/>
      <c r="T263" s="302"/>
    </row>
    <row r="264" spans="1:11" ht="15">
      <c r="A264" s="42" t="s">
        <v>462</v>
      </c>
      <c r="C264" s="120" t="s">
        <v>463</v>
      </c>
      <c r="G264" s="45"/>
      <c r="H264" s="45"/>
      <c r="I264" s="46"/>
      <c r="J264" s="45"/>
      <c r="K264" s="47"/>
    </row>
    <row r="265" spans="1:11" ht="15">
      <c r="A265" s="42">
        <v>22</v>
      </c>
      <c r="C265" s="44" t="s">
        <v>464</v>
      </c>
      <c r="G265" s="45"/>
      <c r="H265" s="45"/>
      <c r="I265" s="187" t="s">
        <v>599</v>
      </c>
      <c r="J265" s="51"/>
      <c r="K265" s="187" t="s">
        <v>589</v>
      </c>
    </row>
    <row r="266" spans="3:11" ht="15">
      <c r="C266" s="44" t="s">
        <v>332</v>
      </c>
      <c r="G266" s="45"/>
      <c r="H266" s="45"/>
      <c r="I266" s="52" t="s">
        <v>333</v>
      </c>
      <c r="J266" s="53"/>
      <c r="K266" s="52" t="s">
        <v>333</v>
      </c>
    </row>
    <row r="267" spans="1:11" ht="15">
      <c r="A267" s="70"/>
      <c r="C267" s="44" t="s">
        <v>465</v>
      </c>
      <c r="G267" s="200"/>
      <c r="H267" s="45"/>
      <c r="I267" s="79">
        <f>kqkd!D8</f>
        <v>23312732068</v>
      </c>
      <c r="J267" s="59"/>
      <c r="K267" s="79">
        <f>kqkd!F8</f>
        <v>86856741226</v>
      </c>
    </row>
    <row r="268" spans="3:11" ht="15">
      <c r="C268" s="44"/>
      <c r="G268" s="45"/>
      <c r="H268" s="45"/>
      <c r="I268" s="60"/>
      <c r="J268" s="59"/>
      <c r="K268" s="61"/>
    </row>
    <row r="269" spans="1:11" ht="15">
      <c r="A269" s="42">
        <v>23</v>
      </c>
      <c r="C269" s="44" t="s">
        <v>466</v>
      </c>
      <c r="G269" s="45"/>
      <c r="H269" s="45"/>
      <c r="I269" s="187" t="str">
        <f>I265</f>
        <v>Quý III</v>
      </c>
      <c r="J269" s="51"/>
      <c r="K269" s="187" t="str">
        <f>K265</f>
        <v>Luü kÕ</v>
      </c>
    </row>
    <row r="270" spans="3:11" ht="15">
      <c r="C270" s="44" t="s">
        <v>332</v>
      </c>
      <c r="G270" s="45"/>
      <c r="H270" s="45"/>
      <c r="I270" s="52" t="s">
        <v>333</v>
      </c>
      <c r="J270" s="53"/>
      <c r="K270" s="52" t="s">
        <v>333</v>
      </c>
    </row>
    <row r="271" spans="1:20" s="67" customFormat="1" ht="15">
      <c r="A271" s="70"/>
      <c r="B271" s="71"/>
      <c r="C271" s="55" t="s">
        <v>467</v>
      </c>
      <c r="D271" s="84"/>
      <c r="E271" s="84"/>
      <c r="F271" s="84"/>
      <c r="G271" s="115"/>
      <c r="H271" s="115"/>
      <c r="I271" s="201">
        <v>0</v>
      </c>
      <c r="J271" s="202"/>
      <c r="K271" s="201">
        <v>0</v>
      </c>
      <c r="L271" s="297"/>
      <c r="S271" s="297"/>
      <c r="T271" s="297"/>
    </row>
    <row r="272" spans="1:20" s="67" customFormat="1" ht="15">
      <c r="A272" s="70"/>
      <c r="B272" s="84"/>
      <c r="C272" s="55" t="s">
        <v>468</v>
      </c>
      <c r="D272" s="84"/>
      <c r="E272" s="84"/>
      <c r="F272" s="84"/>
      <c r="G272" s="115"/>
      <c r="H272" s="115"/>
      <c r="I272" s="2">
        <f>kqkd!D9</f>
        <v>64296540</v>
      </c>
      <c r="J272" s="6"/>
      <c r="K272" s="2">
        <f>kqkd!F9</f>
        <v>893770874</v>
      </c>
      <c r="L272" s="297"/>
      <c r="S272" s="297"/>
      <c r="T272" s="297"/>
    </row>
    <row r="273" spans="1:20" s="67" customFormat="1" ht="15">
      <c r="A273" s="70"/>
      <c r="B273" s="71"/>
      <c r="C273" s="72" t="s">
        <v>469</v>
      </c>
      <c r="D273" s="84"/>
      <c r="E273" s="84"/>
      <c r="F273" s="84"/>
      <c r="G273" s="115"/>
      <c r="H273" s="115"/>
      <c r="I273" s="201"/>
      <c r="J273" s="202"/>
      <c r="K273" s="201">
        <v>0</v>
      </c>
      <c r="L273" s="297"/>
      <c r="S273" s="297"/>
      <c r="T273" s="297"/>
    </row>
    <row r="274" spans="1:11" ht="15">
      <c r="A274" s="70"/>
      <c r="C274" s="55" t="s">
        <v>470</v>
      </c>
      <c r="G274" s="45"/>
      <c r="H274" s="45"/>
      <c r="I274" s="203">
        <v>0</v>
      </c>
      <c r="J274" s="204"/>
      <c r="K274" s="203">
        <v>0</v>
      </c>
    </row>
    <row r="275" spans="1:11" ht="15">
      <c r="A275" s="70"/>
      <c r="C275" s="55" t="s">
        <v>415</v>
      </c>
      <c r="G275" s="45"/>
      <c r="H275" s="45"/>
      <c r="I275" s="203">
        <v>0</v>
      </c>
      <c r="J275" s="204"/>
      <c r="K275" s="203">
        <v>0</v>
      </c>
    </row>
    <row r="276" spans="1:11" ht="15">
      <c r="A276" s="70"/>
      <c r="C276" s="55" t="s">
        <v>471</v>
      </c>
      <c r="G276" s="45"/>
      <c r="H276" s="45"/>
      <c r="I276" s="203">
        <v>0</v>
      </c>
      <c r="J276" s="204"/>
      <c r="K276" s="203">
        <v>0</v>
      </c>
    </row>
    <row r="277" spans="3:11" ht="15.75" thickBot="1">
      <c r="C277" s="44" t="s">
        <v>336</v>
      </c>
      <c r="G277" s="45"/>
      <c r="H277" s="45"/>
      <c r="I277" s="205">
        <f>SUM(I271:I276)</f>
        <v>64296540</v>
      </c>
      <c r="J277" s="59"/>
      <c r="K277" s="205">
        <f>SUM(K271:K276)</f>
        <v>893770874</v>
      </c>
    </row>
    <row r="278" spans="3:11" ht="15.75" thickTop="1">
      <c r="C278" s="113"/>
      <c r="G278" s="45"/>
      <c r="H278" s="45"/>
      <c r="I278" s="46"/>
      <c r="J278" s="45"/>
      <c r="K278" s="47"/>
    </row>
    <row r="279" spans="1:11" ht="15">
      <c r="A279" s="49">
        <v>24</v>
      </c>
      <c r="C279" s="44" t="s">
        <v>472</v>
      </c>
      <c r="G279" s="45"/>
      <c r="H279" s="45"/>
      <c r="I279" s="187" t="str">
        <f>I269</f>
        <v>Quý III</v>
      </c>
      <c r="J279" s="51"/>
      <c r="K279" s="187" t="str">
        <f>K269</f>
        <v>Luü kÕ</v>
      </c>
    </row>
    <row r="280" spans="3:11" ht="15">
      <c r="C280" s="44" t="s">
        <v>332</v>
      </c>
      <c r="G280" s="45"/>
      <c r="H280" s="45"/>
      <c r="I280" s="52" t="s">
        <v>333</v>
      </c>
      <c r="J280" s="53"/>
      <c r="K280" s="52" t="s">
        <v>333</v>
      </c>
    </row>
    <row r="281" spans="1:11" ht="15">
      <c r="A281" s="54"/>
      <c r="C281" s="55" t="s">
        <v>473</v>
      </c>
      <c r="G281" s="45"/>
      <c r="H281" s="45"/>
      <c r="I281" s="203">
        <v>0</v>
      </c>
      <c r="J281" s="133"/>
      <c r="K281" s="203">
        <v>0</v>
      </c>
    </row>
    <row r="282" spans="1:11" ht="15">
      <c r="A282" s="54"/>
      <c r="C282" s="55" t="s">
        <v>474</v>
      </c>
      <c r="G282" s="45"/>
      <c r="H282" s="45"/>
      <c r="I282" s="203">
        <f>I267-I272</f>
        <v>23248435528</v>
      </c>
      <c r="J282" s="133"/>
      <c r="K282" s="203">
        <f>K267-K272</f>
        <v>85962970352</v>
      </c>
    </row>
    <row r="283" spans="1:11" ht="15">
      <c r="A283" s="54"/>
      <c r="C283" s="55" t="s">
        <v>475</v>
      </c>
      <c r="G283" s="45"/>
      <c r="H283" s="45"/>
      <c r="I283" s="203"/>
      <c r="J283" s="133"/>
      <c r="K283" s="203"/>
    </row>
    <row r="284" spans="3:11" ht="15.75" thickBot="1">
      <c r="C284" s="44" t="s">
        <v>336</v>
      </c>
      <c r="G284" s="45"/>
      <c r="H284" s="45"/>
      <c r="I284" s="58">
        <f>SUM(I281:I283)</f>
        <v>23248435528</v>
      </c>
      <c r="J284" s="59"/>
      <c r="K284" s="58">
        <f>SUM(K281:K283)</f>
        <v>85962970352</v>
      </c>
    </row>
    <row r="285" spans="3:11" ht="15.75" thickTop="1">
      <c r="C285" s="113"/>
      <c r="G285" s="45"/>
      <c r="H285" s="45"/>
      <c r="I285" s="46"/>
      <c r="J285" s="45"/>
      <c r="K285" s="47"/>
    </row>
    <row r="286" spans="1:11" ht="15">
      <c r="A286" s="49">
        <v>25</v>
      </c>
      <c r="C286" s="44" t="s">
        <v>476</v>
      </c>
      <c r="G286" s="45"/>
      <c r="H286" s="45"/>
      <c r="I286" s="187" t="str">
        <f>I265</f>
        <v>Quý III</v>
      </c>
      <c r="J286" s="51"/>
      <c r="K286" s="187" t="str">
        <f>K279</f>
        <v>Luü kÕ</v>
      </c>
    </row>
    <row r="287" spans="3:11" ht="15">
      <c r="C287" s="44" t="s">
        <v>332</v>
      </c>
      <c r="G287" s="45"/>
      <c r="H287" s="45"/>
      <c r="I287" s="52" t="s">
        <v>333</v>
      </c>
      <c r="J287" s="53"/>
      <c r="K287" s="52" t="s">
        <v>333</v>
      </c>
    </row>
    <row r="288" spans="1:11" ht="14.25">
      <c r="A288" s="54"/>
      <c r="B288" s="32"/>
      <c r="C288" s="55" t="s">
        <v>477</v>
      </c>
      <c r="G288" s="45"/>
      <c r="H288" s="45"/>
      <c r="I288" s="213">
        <v>0</v>
      </c>
      <c r="J288" s="204"/>
      <c r="K288" s="213">
        <v>0</v>
      </c>
    </row>
    <row r="289" spans="1:11" ht="14.25">
      <c r="A289" s="54"/>
      <c r="B289" s="32"/>
      <c r="C289" s="55" t="s">
        <v>478</v>
      </c>
      <c r="G289" s="215"/>
      <c r="H289" s="45"/>
      <c r="I289" s="203">
        <f>kqkd!D11</f>
        <v>16125318779</v>
      </c>
      <c r="J289" s="204"/>
      <c r="K289" s="203">
        <f>kqkd!F11</f>
        <v>65497234299</v>
      </c>
    </row>
    <row r="290" spans="1:11" ht="14.25">
      <c r="A290" s="54"/>
      <c r="B290" s="32"/>
      <c r="C290" s="55" t="s">
        <v>479</v>
      </c>
      <c r="G290" s="45"/>
      <c r="H290" s="45"/>
      <c r="I290" s="56"/>
      <c r="J290" s="133"/>
      <c r="K290" s="56"/>
    </row>
    <row r="291" spans="1:20" s="32" customFormat="1" ht="15.75" thickBot="1">
      <c r="A291" s="42"/>
      <c r="B291" s="43"/>
      <c r="C291" s="44" t="s">
        <v>336</v>
      </c>
      <c r="G291" s="45"/>
      <c r="H291" s="45"/>
      <c r="I291" s="58">
        <f>SUM(I288:I290)</f>
        <v>16125318779</v>
      </c>
      <c r="J291" s="59"/>
      <c r="K291" s="58">
        <f>SUM(K288:K290)</f>
        <v>65497234299</v>
      </c>
      <c r="L291" s="40"/>
      <c r="S291" s="40"/>
      <c r="T291" s="40"/>
    </row>
    <row r="292" spans="3:11" ht="15.75" thickTop="1">
      <c r="C292" s="44"/>
      <c r="G292" s="45"/>
      <c r="H292" s="45"/>
      <c r="I292" s="60"/>
      <c r="J292" s="59"/>
      <c r="K292" s="61"/>
    </row>
    <row r="293" spans="1:11" ht="15">
      <c r="A293" s="49">
        <v>26</v>
      </c>
      <c r="C293" s="44" t="s">
        <v>480</v>
      </c>
      <c r="G293" s="45"/>
      <c r="H293" s="45"/>
      <c r="I293" s="187" t="str">
        <f>I286</f>
        <v>Quý III</v>
      </c>
      <c r="J293" s="51"/>
      <c r="K293" s="187" t="str">
        <f>K286</f>
        <v>Luü kÕ</v>
      </c>
    </row>
    <row r="294" spans="3:11" ht="15">
      <c r="C294" s="44" t="s">
        <v>332</v>
      </c>
      <c r="G294" s="45"/>
      <c r="H294" s="45"/>
      <c r="I294" s="52" t="s">
        <v>333</v>
      </c>
      <c r="J294" s="53"/>
      <c r="K294" s="52" t="s">
        <v>333</v>
      </c>
    </row>
    <row r="295" spans="1:11" ht="14.25">
      <c r="A295" s="54"/>
      <c r="B295" s="32"/>
      <c r="C295" s="55" t="s">
        <v>480</v>
      </c>
      <c r="G295" s="45"/>
      <c r="H295" s="45"/>
      <c r="I295" s="56">
        <f>kqkd!D13</f>
        <v>10863344</v>
      </c>
      <c r="J295" s="56"/>
      <c r="K295" s="56">
        <f>kqkd!F13</f>
        <v>1880789699</v>
      </c>
    </row>
    <row r="296" spans="3:11" ht="15.75" thickBot="1">
      <c r="C296" s="44" t="s">
        <v>336</v>
      </c>
      <c r="G296" s="45"/>
      <c r="H296" s="45"/>
      <c r="I296" s="58">
        <f>SUM(I295:I295)</f>
        <v>10863344</v>
      </c>
      <c r="J296" s="59"/>
      <c r="K296" s="58">
        <f>SUM(K295:K295)</f>
        <v>1880789699</v>
      </c>
    </row>
    <row r="297" spans="3:11" ht="15.75" thickTop="1">
      <c r="C297" s="44"/>
      <c r="G297" s="45"/>
      <c r="H297" s="45"/>
      <c r="I297" s="61"/>
      <c r="J297" s="59"/>
      <c r="K297" s="61"/>
    </row>
    <row r="298" spans="1:11" ht="15">
      <c r="A298" s="49">
        <v>27</v>
      </c>
      <c r="C298" s="44" t="s">
        <v>481</v>
      </c>
      <c r="G298" s="45"/>
      <c r="H298" s="45"/>
      <c r="I298" s="187" t="str">
        <f>I293</f>
        <v>Quý III</v>
      </c>
      <c r="J298" s="51"/>
      <c r="K298" s="187" t="str">
        <f>K293</f>
        <v>Luü kÕ</v>
      </c>
    </row>
    <row r="299" spans="3:11" ht="15">
      <c r="C299" s="44" t="s">
        <v>332</v>
      </c>
      <c r="G299" s="45"/>
      <c r="H299" s="45"/>
      <c r="I299" s="52" t="s">
        <v>333</v>
      </c>
      <c r="J299" s="53"/>
      <c r="K299" s="52" t="s">
        <v>333</v>
      </c>
    </row>
    <row r="300" spans="1:11" ht="14.25">
      <c r="A300" s="54"/>
      <c r="B300" s="32"/>
      <c r="C300" s="55" t="s">
        <v>14</v>
      </c>
      <c r="G300" s="45"/>
      <c r="H300" s="45"/>
      <c r="I300" s="79">
        <f>kqkd!D14</f>
        <v>2695934315</v>
      </c>
      <c r="J300" s="131"/>
      <c r="K300" s="79">
        <f>kqkd!F14</f>
        <v>6704551344</v>
      </c>
    </row>
    <row r="301" spans="1:11" ht="14.25">
      <c r="A301" s="54"/>
      <c r="B301" s="32"/>
      <c r="C301" s="55" t="s">
        <v>15</v>
      </c>
      <c r="G301" s="45"/>
      <c r="H301" s="45"/>
      <c r="I301" s="79"/>
      <c r="J301" s="131"/>
      <c r="K301" s="79"/>
    </row>
    <row r="302" spans="1:11" ht="14.25">
      <c r="A302" s="54"/>
      <c r="B302" s="32"/>
      <c r="C302" s="55" t="s">
        <v>16</v>
      </c>
      <c r="G302" s="45"/>
      <c r="H302" s="45"/>
      <c r="I302" s="79"/>
      <c r="J302" s="131"/>
      <c r="K302" s="79"/>
    </row>
    <row r="303" spans="1:11" ht="14.25">
      <c r="A303" s="54"/>
      <c r="B303" s="32"/>
      <c r="C303" s="55" t="s">
        <v>17</v>
      </c>
      <c r="G303" s="45"/>
      <c r="H303" s="45"/>
      <c r="I303" s="56"/>
      <c r="J303" s="56"/>
      <c r="K303" s="56"/>
    </row>
    <row r="304" spans="3:11" ht="15.75" thickBot="1">
      <c r="C304" s="44" t="s">
        <v>336</v>
      </c>
      <c r="G304" s="45"/>
      <c r="H304" s="45"/>
      <c r="I304" s="58">
        <f>SUM(I300:I303)</f>
        <v>2695934315</v>
      </c>
      <c r="J304" s="59"/>
      <c r="K304" s="58">
        <f>SUM(K300:K303)</f>
        <v>6704551344</v>
      </c>
    </row>
    <row r="305" spans="3:11" ht="15.75" thickTop="1">
      <c r="C305" s="113"/>
      <c r="G305" s="45"/>
      <c r="H305" s="45"/>
      <c r="I305" s="46"/>
      <c r="J305" s="45"/>
      <c r="K305" s="47"/>
    </row>
    <row r="306" spans="1:11" ht="15">
      <c r="A306" s="49">
        <v>28</v>
      </c>
      <c r="C306" s="44" t="s">
        <v>482</v>
      </c>
      <c r="G306" s="45"/>
      <c r="H306" s="45"/>
      <c r="I306" s="187" t="str">
        <f>I298</f>
        <v>Quý III</v>
      </c>
      <c r="J306" s="51"/>
      <c r="K306" s="187" t="str">
        <f>K298</f>
        <v>Luü kÕ</v>
      </c>
    </row>
    <row r="307" spans="3:11" ht="15">
      <c r="C307" s="44" t="s">
        <v>332</v>
      </c>
      <c r="G307" s="45"/>
      <c r="H307" s="45"/>
      <c r="I307" s="52" t="s">
        <v>333</v>
      </c>
      <c r="J307" s="53"/>
      <c r="K307" s="52" t="s">
        <v>333</v>
      </c>
    </row>
    <row r="308" spans="1:20" s="212" customFormat="1" ht="27.75" customHeight="1">
      <c r="A308" s="207"/>
      <c r="B308" s="208"/>
      <c r="C308" s="354" t="s">
        <v>483</v>
      </c>
      <c r="D308" s="354"/>
      <c r="E308" s="354"/>
      <c r="F308" s="354"/>
      <c r="G308" s="354"/>
      <c r="H308" s="209"/>
      <c r="I308" s="210">
        <f>kqkd!D24</f>
        <v>339089243</v>
      </c>
      <c r="J308" s="211"/>
      <c r="K308" s="210">
        <f>kqkd!F24</f>
        <v>1621358270</v>
      </c>
      <c r="L308" s="303"/>
      <c r="S308" s="303"/>
      <c r="T308" s="303"/>
    </row>
    <row r="309" spans="1:20" s="212" customFormat="1" ht="15.75" customHeight="1">
      <c r="A309" s="207"/>
      <c r="B309" s="208"/>
      <c r="C309" s="310" t="s">
        <v>18</v>
      </c>
      <c r="D309" s="310"/>
      <c r="E309" s="310"/>
      <c r="F309" s="310"/>
      <c r="G309" s="310"/>
      <c r="H309" s="209"/>
      <c r="I309" s="210"/>
      <c r="J309" s="211"/>
      <c r="K309" s="210"/>
      <c r="L309" s="303"/>
      <c r="S309" s="303"/>
      <c r="T309" s="303"/>
    </row>
    <row r="310" spans="1:20" s="318" customFormat="1" ht="15.75" customHeight="1">
      <c r="A310" s="311"/>
      <c r="B310" s="312"/>
      <c r="C310" s="313" t="s">
        <v>19</v>
      </c>
      <c r="D310" s="313"/>
      <c r="E310" s="313"/>
      <c r="F310" s="313"/>
      <c r="G310" s="313"/>
      <c r="H310" s="314"/>
      <c r="I310" s="315">
        <f>I308</f>
        <v>339089243</v>
      </c>
      <c r="J310" s="316"/>
      <c r="K310" s="315">
        <f>kqkd!F24</f>
        <v>1621358270</v>
      </c>
      <c r="L310" s="317"/>
      <c r="S310" s="317"/>
      <c r="T310" s="317"/>
    </row>
    <row r="311" spans="1:20" s="67" customFormat="1" ht="15.75" customHeight="1">
      <c r="A311" s="70"/>
      <c r="B311" s="71"/>
      <c r="C311" s="355" t="s">
        <v>20</v>
      </c>
      <c r="D311" s="355"/>
      <c r="E311" s="355"/>
      <c r="F311" s="355"/>
      <c r="G311" s="355"/>
      <c r="H311" s="319"/>
      <c r="I311" s="320">
        <v>0</v>
      </c>
      <c r="J311" s="202"/>
      <c r="K311" s="320">
        <v>0</v>
      </c>
      <c r="L311" s="297"/>
      <c r="S311" s="297"/>
      <c r="T311" s="297"/>
    </row>
    <row r="312" spans="1:11" ht="15">
      <c r="A312" s="54"/>
      <c r="C312" s="55" t="s">
        <v>484</v>
      </c>
      <c r="G312" s="45"/>
      <c r="H312" s="45"/>
      <c r="I312" s="213">
        <f>I310</f>
        <v>339089243</v>
      </c>
      <c r="J312" s="204"/>
      <c r="K312" s="203">
        <f>K310</f>
        <v>1621358270</v>
      </c>
    </row>
    <row r="313" spans="1:20" s="163" customFormat="1" ht="15">
      <c r="A313" s="42"/>
      <c r="B313" s="120"/>
      <c r="C313" s="113"/>
      <c r="D313" s="118"/>
      <c r="E313" s="118"/>
      <c r="F313" s="118"/>
      <c r="G313" s="118"/>
      <c r="H313" s="118"/>
      <c r="I313" s="47"/>
      <c r="J313" s="45"/>
      <c r="K313" s="47"/>
      <c r="L313" s="300"/>
      <c r="S313" s="300"/>
      <c r="T313" s="300"/>
    </row>
    <row r="314" spans="1:20" s="163" customFormat="1" ht="15">
      <c r="A314" s="42"/>
      <c r="B314" s="120"/>
      <c r="C314" s="113"/>
      <c r="D314" s="118"/>
      <c r="E314" s="118"/>
      <c r="F314" s="118"/>
      <c r="G314" s="118"/>
      <c r="H314" s="118"/>
      <c r="I314" s="47"/>
      <c r="J314" s="45"/>
      <c r="K314" s="47"/>
      <c r="L314" s="300"/>
      <c r="S314" s="300"/>
      <c r="T314" s="300"/>
    </row>
    <row r="315" spans="1:20" s="163" customFormat="1" ht="15">
      <c r="A315" s="42"/>
      <c r="B315" s="120"/>
      <c r="C315" s="113"/>
      <c r="D315" s="118"/>
      <c r="E315" s="118"/>
      <c r="F315" s="118"/>
      <c r="G315" s="118"/>
      <c r="H315" s="118"/>
      <c r="I315" s="47"/>
      <c r="J315" s="45"/>
      <c r="K315" s="47"/>
      <c r="L315" s="300"/>
      <c r="S315" s="300"/>
      <c r="T315" s="300"/>
    </row>
    <row r="316" spans="1:20" s="163" customFormat="1" ht="15">
      <c r="A316" s="42"/>
      <c r="B316" s="120"/>
      <c r="C316" s="113"/>
      <c r="D316" s="118"/>
      <c r="E316" s="118"/>
      <c r="F316" s="118"/>
      <c r="G316" s="118"/>
      <c r="H316" s="118"/>
      <c r="I316" s="47"/>
      <c r="J316" s="45"/>
      <c r="K316" s="47"/>
      <c r="L316" s="300"/>
      <c r="S316" s="300"/>
      <c r="T316" s="300"/>
    </row>
    <row r="317" spans="1:11" ht="15">
      <c r="A317" s="49">
        <v>29</v>
      </c>
      <c r="C317" s="44" t="s">
        <v>485</v>
      </c>
      <c r="G317" s="45"/>
      <c r="H317" s="45"/>
      <c r="I317" s="187" t="s">
        <v>599</v>
      </c>
      <c r="J317" s="51"/>
      <c r="K317" s="187" t="s">
        <v>589</v>
      </c>
    </row>
    <row r="318" spans="3:11" ht="15">
      <c r="C318" s="214" t="s">
        <v>332</v>
      </c>
      <c r="G318" s="45"/>
      <c r="H318" s="45"/>
      <c r="I318" s="52" t="s">
        <v>333</v>
      </c>
      <c r="J318" s="53"/>
      <c r="K318" s="52" t="s">
        <v>333</v>
      </c>
    </row>
    <row r="319" spans="1:11" ht="15">
      <c r="A319" s="54"/>
      <c r="C319" s="55" t="s">
        <v>486</v>
      </c>
      <c r="G319" s="215"/>
      <c r="H319" s="45"/>
      <c r="I319" s="40">
        <f>856263500+426188089</f>
        <v>1282451589</v>
      </c>
      <c r="K319" s="40">
        <f>2963373000+1120689925+1000000000</f>
        <v>5084062925</v>
      </c>
    </row>
    <row r="320" spans="1:12" ht="15">
      <c r="A320" s="54"/>
      <c r="C320" s="55" t="s">
        <v>21</v>
      </c>
      <c r="G320" s="215"/>
      <c r="H320" s="45"/>
      <c r="I320" s="56">
        <f>4197073588+912379017-1500000000-609966689-309</f>
        <v>2999485607</v>
      </c>
      <c r="J320" s="133"/>
      <c r="K320" s="56">
        <f>1120689925+4197073588*2+2000000000</f>
        <v>11514837101</v>
      </c>
      <c r="L320" s="2">
        <f>I320</f>
        <v>2999485607</v>
      </c>
    </row>
    <row r="321" spans="1:11" ht="15">
      <c r="A321" s="54"/>
      <c r="C321" s="55" t="s">
        <v>22</v>
      </c>
      <c r="G321" s="45"/>
      <c r="H321" s="45"/>
      <c r="I321" s="56">
        <f>11623309698+237751713</f>
        <v>11861061411</v>
      </c>
      <c r="J321" s="133"/>
      <c r="K321" s="56">
        <f>323037229+45570376511+42518844</f>
        <v>45935932584</v>
      </c>
    </row>
    <row r="322" spans="1:11" ht="15">
      <c r="A322" s="54"/>
      <c r="C322" s="55" t="s">
        <v>487</v>
      </c>
      <c r="G322" s="45"/>
      <c r="H322" s="45"/>
      <c r="I322" s="56">
        <f>14662986+2478784928</f>
        <v>2493447914</v>
      </c>
      <c r="J322" s="133"/>
      <c r="K322" s="56">
        <f>7468878281+43988958</f>
        <v>7512867239</v>
      </c>
    </row>
    <row r="323" spans="1:12" ht="15">
      <c r="A323" s="54"/>
      <c r="C323" s="55" t="s">
        <v>488</v>
      </c>
      <c r="G323" s="45"/>
      <c r="H323" s="45"/>
      <c r="I323" s="56">
        <f>2144209022+1081070596-1000000000</f>
        <v>2225279618</v>
      </c>
      <c r="J323" s="133"/>
      <c r="K323" s="56">
        <f>2097868441+5399276134+500000000</f>
        <v>7997144575</v>
      </c>
      <c r="L323" s="2">
        <f>I323</f>
        <v>2225279618</v>
      </c>
    </row>
    <row r="324" spans="1:14" ht="15">
      <c r="A324" s="54"/>
      <c r="C324" s="55" t="s">
        <v>489</v>
      </c>
      <c r="G324" s="45"/>
      <c r="H324" s="45"/>
      <c r="I324" s="56">
        <f>429551128+611664633</f>
        <v>1041215761</v>
      </c>
      <c r="J324" s="133"/>
      <c r="K324" s="56">
        <f>1444513116+693778522+1000000000+500000000</f>
        <v>3638291638</v>
      </c>
      <c r="L324" s="2" t="e">
        <f>'KQKD quy'!#REF!+'KQKD quy'!#REF!+'KQKD quy'!#REF!+'KQKD quy'!#REF!</f>
        <v>#REF!</v>
      </c>
      <c r="N324" s="2">
        <f>'KQKD quy'!D11+'KQKD quy'!D14+'KQKD quy'!D17+'KQKD quy'!D20</f>
        <v>81683136062</v>
      </c>
    </row>
    <row r="325" spans="1:20" s="32" customFormat="1" ht="15.75" thickBot="1">
      <c r="A325" s="42"/>
      <c r="B325" s="43"/>
      <c r="C325" s="44" t="s">
        <v>336</v>
      </c>
      <c r="G325" s="216"/>
      <c r="H325" s="45"/>
      <c r="I325" s="58">
        <f>SUM(I319:I324)</f>
        <v>21902941900</v>
      </c>
      <c r="J325" s="59"/>
      <c r="K325" s="58">
        <f>SUM(K319:K324)</f>
        <v>81683136062</v>
      </c>
      <c r="L325" s="40">
        <f>I325-I326</f>
        <v>21902941900</v>
      </c>
      <c r="S325" s="40">
        <f>kqkd!D11+kqkd!D14+kqkd!D17+kqkd!D20</f>
        <v>21902941900</v>
      </c>
      <c r="T325" s="40">
        <f>kqkd!F11+kqkd!F14+kqkd!F17+kqkd!F20</f>
        <v>81683136062</v>
      </c>
    </row>
    <row r="326" spans="1:20" s="32" customFormat="1" ht="15.75" thickTop="1">
      <c r="A326" s="42"/>
      <c r="B326" s="43"/>
      <c r="C326" s="44"/>
      <c r="E326" s="278"/>
      <c r="G326" s="216"/>
      <c r="H326" s="45"/>
      <c r="I326" s="61"/>
      <c r="J326" s="59"/>
      <c r="K326" s="61"/>
      <c r="L326" s="40"/>
      <c r="S326" s="40">
        <f>S325-I325</f>
        <v>0</v>
      </c>
      <c r="T326" s="40">
        <f>T325-K325</f>
        <v>0</v>
      </c>
    </row>
    <row r="327" spans="1:11" ht="15">
      <c r="A327" s="164">
        <v>30</v>
      </c>
      <c r="C327" s="165" t="s">
        <v>490</v>
      </c>
      <c r="G327" s="217"/>
      <c r="H327" s="45"/>
      <c r="I327" s="187" t="str">
        <f>I317</f>
        <v>Quý III</v>
      </c>
      <c r="J327" s="133"/>
      <c r="K327" s="187" t="str">
        <f>K317</f>
        <v>Luü kÕ</v>
      </c>
    </row>
    <row r="328" spans="1:11" ht="15">
      <c r="A328" s="6"/>
      <c r="B328" s="6"/>
      <c r="C328" s="6"/>
      <c r="G328" s="45"/>
      <c r="H328" s="45"/>
      <c r="I328" s="52" t="s">
        <v>333</v>
      </c>
      <c r="J328" s="53"/>
      <c r="K328" s="52" t="s">
        <v>333</v>
      </c>
    </row>
    <row r="329" spans="1:11" ht="15">
      <c r="A329" s="54"/>
      <c r="B329" s="32"/>
      <c r="C329" s="214" t="s">
        <v>332</v>
      </c>
      <c r="G329" s="45"/>
      <c r="H329" s="45"/>
      <c r="I329" s="40">
        <f>kqkd!D19</f>
        <v>0</v>
      </c>
      <c r="K329" s="40">
        <f>kqkd!F19</f>
        <v>324809091</v>
      </c>
    </row>
    <row r="330" spans="3:11" ht="15.75" thickBot="1">
      <c r="C330" s="44" t="s">
        <v>336</v>
      </c>
      <c r="G330" s="45"/>
      <c r="H330" s="45"/>
      <c r="I330" s="58">
        <f>I329</f>
        <v>0</v>
      </c>
      <c r="J330" s="59"/>
      <c r="K330" s="58">
        <f>K329</f>
        <v>324809091</v>
      </c>
    </row>
    <row r="331" spans="3:11" ht="15.75" thickTop="1">
      <c r="C331" s="218"/>
      <c r="G331" s="45"/>
      <c r="H331" s="45"/>
      <c r="I331" s="46"/>
      <c r="J331" s="45"/>
      <c r="K331" s="47"/>
    </row>
    <row r="332" spans="1:11" ht="15">
      <c r="A332" s="164">
        <v>31</v>
      </c>
      <c r="C332" s="165" t="s">
        <v>491</v>
      </c>
      <c r="G332" s="45"/>
      <c r="H332" s="45"/>
      <c r="I332" s="187" t="str">
        <f>I327</f>
        <v>Quý III</v>
      </c>
      <c r="J332" s="51"/>
      <c r="K332" s="187" t="str">
        <f>K327</f>
        <v>Luü kÕ</v>
      </c>
    </row>
    <row r="333" spans="1:11" ht="15">
      <c r="A333" s="6"/>
      <c r="B333" s="6"/>
      <c r="C333" s="6"/>
      <c r="G333" s="45"/>
      <c r="H333" s="45"/>
      <c r="I333" s="52" t="s">
        <v>333</v>
      </c>
      <c r="J333" s="53"/>
      <c r="K333" s="52" t="s">
        <v>333</v>
      </c>
    </row>
    <row r="334" spans="3:11" ht="15">
      <c r="C334" s="214" t="s">
        <v>332</v>
      </c>
      <c r="G334" s="45"/>
      <c r="H334" s="45"/>
      <c r="I334" s="40">
        <f>kqkd!D20</f>
        <v>0</v>
      </c>
      <c r="K334" s="40">
        <f>kqkd!F20</f>
        <v>21312675</v>
      </c>
    </row>
    <row r="335" spans="3:11" ht="15.75" thickBot="1">
      <c r="C335" s="44" t="s">
        <v>336</v>
      </c>
      <c r="G335" s="45"/>
      <c r="H335" s="45"/>
      <c r="I335" s="58">
        <f>I334</f>
        <v>0</v>
      </c>
      <c r="J335" s="59"/>
      <c r="K335" s="58">
        <f>K334</f>
        <v>21312675</v>
      </c>
    </row>
    <row r="336" spans="3:11" ht="15.75" thickTop="1">
      <c r="C336" s="218"/>
      <c r="G336" s="45"/>
      <c r="H336" s="45"/>
      <c r="I336" s="46"/>
      <c r="J336" s="45"/>
      <c r="K336" s="47"/>
    </row>
    <row r="337" spans="1:8" ht="15">
      <c r="A337" s="42" t="s">
        <v>492</v>
      </c>
      <c r="C337" s="44" t="s">
        <v>493</v>
      </c>
      <c r="G337" s="45"/>
      <c r="H337" s="45"/>
    </row>
    <row r="338" spans="1:8" ht="15">
      <c r="A338" s="49" t="s">
        <v>330</v>
      </c>
      <c r="C338" s="44" t="s">
        <v>494</v>
      </c>
      <c r="G338" s="45"/>
      <c r="H338" s="45"/>
    </row>
    <row r="339" spans="1:11" ht="15">
      <c r="A339" s="49">
        <v>2</v>
      </c>
      <c r="C339" s="44" t="s">
        <v>495</v>
      </c>
      <c r="G339" s="45"/>
      <c r="H339" s="45"/>
      <c r="I339" s="47"/>
      <c r="J339" s="45"/>
      <c r="K339" s="47"/>
    </row>
    <row r="340" spans="1:11" ht="15">
      <c r="A340" s="49">
        <v>3</v>
      </c>
      <c r="C340" s="44" t="s">
        <v>496</v>
      </c>
      <c r="G340" s="45"/>
      <c r="H340" s="45"/>
      <c r="I340" s="47"/>
      <c r="J340" s="45"/>
      <c r="K340" s="47"/>
    </row>
    <row r="341" spans="1:11" ht="14.25">
      <c r="A341" s="219"/>
      <c r="B341" s="32"/>
      <c r="C341" s="55" t="s">
        <v>497</v>
      </c>
      <c r="G341" s="45"/>
      <c r="H341" s="45"/>
      <c r="I341" s="47"/>
      <c r="J341" s="45"/>
      <c r="K341" s="220" t="s">
        <v>498</v>
      </c>
    </row>
    <row r="342" spans="1:11" ht="15">
      <c r="A342" s="219"/>
      <c r="B342" s="32"/>
      <c r="C342" s="72" t="s">
        <v>373</v>
      </c>
      <c r="G342" s="45"/>
      <c r="H342" s="45"/>
      <c r="I342" s="47"/>
      <c r="J342" s="45"/>
      <c r="K342" s="220" t="s">
        <v>499</v>
      </c>
    </row>
    <row r="343" spans="1:11" ht="15">
      <c r="A343" s="219"/>
      <c r="B343" s="32"/>
      <c r="C343" s="72" t="s">
        <v>374</v>
      </c>
      <c r="G343" s="45"/>
      <c r="H343" s="45"/>
      <c r="I343" s="47"/>
      <c r="J343" s="45"/>
      <c r="K343" s="220" t="s">
        <v>500</v>
      </c>
    </row>
    <row r="344" spans="1:11" ht="15">
      <c r="A344" s="219"/>
      <c r="B344" s="32"/>
      <c r="C344" s="72" t="s">
        <v>501</v>
      </c>
      <c r="G344" s="45"/>
      <c r="H344" s="45"/>
      <c r="I344" s="47"/>
      <c r="J344" s="45"/>
      <c r="K344" s="221">
        <v>0.51</v>
      </c>
    </row>
    <row r="345" spans="1:11" ht="15">
      <c r="A345" s="219"/>
      <c r="B345" s="32"/>
      <c r="C345" s="55" t="s">
        <v>502</v>
      </c>
      <c r="G345" s="45"/>
      <c r="H345" s="45"/>
      <c r="I345" s="187" t="str">
        <f>I332</f>
        <v>Quý III</v>
      </c>
      <c r="J345" s="51"/>
      <c r="K345" s="187" t="str">
        <f>K332</f>
        <v>Luü kÕ</v>
      </c>
    </row>
    <row r="346" spans="1:11" ht="15">
      <c r="A346" s="219"/>
      <c r="B346" s="32"/>
      <c r="C346" s="55" t="s">
        <v>332</v>
      </c>
      <c r="G346" s="45"/>
      <c r="H346" s="45"/>
      <c r="I346" s="52" t="s">
        <v>333</v>
      </c>
      <c r="J346" s="53"/>
      <c r="K346" s="52" t="s">
        <v>333</v>
      </c>
    </row>
    <row r="347" spans="1:11" ht="30" customHeight="1">
      <c r="A347" s="219"/>
      <c r="B347" s="32"/>
      <c r="C347" s="351" t="s">
        <v>503</v>
      </c>
      <c r="D347" s="351"/>
      <c r="E347" s="351"/>
      <c r="F347" s="351"/>
      <c r="G347" s="351"/>
      <c r="H347" s="45"/>
      <c r="I347" s="62">
        <f>'BẢNG CÂN ĐỐI KẾ TOÁN'!D53</f>
        <v>6780000000</v>
      </c>
      <c r="J347" s="45"/>
      <c r="K347" s="62"/>
    </row>
    <row r="348" spans="1:11" ht="30" customHeight="1">
      <c r="A348" s="219"/>
      <c r="B348" s="32"/>
      <c r="C348" s="351" t="s">
        <v>504</v>
      </c>
      <c r="D348" s="351"/>
      <c r="E348" s="351"/>
      <c r="F348" s="351"/>
      <c r="G348" s="351"/>
      <c r="H348" s="45"/>
      <c r="I348" s="62"/>
      <c r="J348" s="45"/>
      <c r="K348" s="62"/>
    </row>
    <row r="349" spans="1:11" ht="39.75" customHeight="1">
      <c r="A349" s="49">
        <v>4</v>
      </c>
      <c r="C349" s="352" t="s">
        <v>505</v>
      </c>
      <c r="D349" s="352"/>
      <c r="E349" s="352"/>
      <c r="F349" s="352"/>
      <c r="G349" s="352"/>
      <c r="H349" s="352"/>
      <c r="I349" s="352"/>
      <c r="J349" s="352"/>
      <c r="K349" s="352"/>
    </row>
    <row r="350" spans="1:11" ht="15">
      <c r="A350" s="49">
        <v>5</v>
      </c>
      <c r="C350" s="352" t="s">
        <v>506</v>
      </c>
      <c r="D350" s="352"/>
      <c r="E350" s="352"/>
      <c r="F350" s="352"/>
      <c r="G350" s="352"/>
      <c r="H350" s="352"/>
      <c r="I350" s="352"/>
      <c r="J350" s="352"/>
      <c r="K350" s="352"/>
    </row>
    <row r="351" spans="1:11" ht="15">
      <c r="A351" s="49">
        <v>6</v>
      </c>
      <c r="C351" s="352" t="s">
        <v>507</v>
      </c>
      <c r="D351" s="352"/>
      <c r="E351" s="352"/>
      <c r="F351" s="352"/>
      <c r="G351" s="352"/>
      <c r="H351" s="222"/>
      <c r="I351" s="50" t="s">
        <v>598</v>
      </c>
      <c r="J351" s="51"/>
      <c r="K351" s="50" t="s">
        <v>580</v>
      </c>
    </row>
    <row r="352" spans="1:11" ht="15">
      <c r="A352" s="49"/>
      <c r="C352" s="44" t="s">
        <v>332</v>
      </c>
      <c r="D352" s="206"/>
      <c r="E352" s="206"/>
      <c r="F352" s="206"/>
      <c r="G352" s="206"/>
      <c r="H352" s="222"/>
      <c r="I352" s="52" t="s">
        <v>333</v>
      </c>
      <c r="J352" s="53"/>
      <c r="K352" s="52" t="s">
        <v>333</v>
      </c>
    </row>
    <row r="353" spans="1:11" ht="18.75" customHeight="1">
      <c r="A353" s="49"/>
      <c r="C353" s="351" t="s">
        <v>508</v>
      </c>
      <c r="D353" s="351"/>
      <c r="E353" s="351"/>
      <c r="F353" s="351"/>
      <c r="G353" s="351"/>
      <c r="H353" s="206"/>
      <c r="I353" s="2">
        <f>124969290000</f>
        <v>124969290000</v>
      </c>
      <c r="J353" s="6"/>
      <c r="K353" s="2">
        <v>99989600000</v>
      </c>
    </row>
    <row r="354" spans="1:11" ht="16.5" customHeight="1">
      <c r="A354" s="49"/>
      <c r="C354" s="351" t="s">
        <v>509</v>
      </c>
      <c r="D354" s="351"/>
      <c r="E354" s="351"/>
      <c r="F354" s="351"/>
      <c r="G354" s="351"/>
      <c r="H354" s="206"/>
      <c r="I354" s="2">
        <f>I355</f>
        <v>6780000000</v>
      </c>
      <c r="J354" s="6"/>
      <c r="K354" s="2">
        <f>K355</f>
        <v>6780000000</v>
      </c>
    </row>
    <row r="355" spans="1:11" ht="30" customHeight="1">
      <c r="A355" s="219"/>
      <c r="B355" s="32"/>
      <c r="C355" s="351" t="s">
        <v>510</v>
      </c>
      <c r="D355" s="351"/>
      <c r="E355" s="351"/>
      <c r="F355" s="351"/>
      <c r="G355" s="351"/>
      <c r="H355" s="45"/>
      <c r="I355" s="62">
        <f>I347</f>
        <v>6780000000</v>
      </c>
      <c r="J355" s="45"/>
      <c r="K355" s="62">
        <f>I355</f>
        <v>6780000000</v>
      </c>
    </row>
    <row r="356" spans="1:11" ht="30" customHeight="1">
      <c r="A356" s="219"/>
      <c r="B356" s="32"/>
      <c r="C356" s="307"/>
      <c r="D356" s="307"/>
      <c r="E356" s="307"/>
      <c r="F356" s="307"/>
      <c r="G356" s="307"/>
      <c r="H356" s="45"/>
      <c r="I356" s="62"/>
      <c r="J356" s="45"/>
      <c r="K356" s="62"/>
    </row>
    <row r="357" spans="1:11" ht="30" customHeight="1">
      <c r="A357" s="219"/>
      <c r="B357" s="32"/>
      <c r="C357" s="307"/>
      <c r="D357" s="307"/>
      <c r="E357" s="307"/>
      <c r="F357" s="307"/>
      <c r="G357" s="307"/>
      <c r="H357" s="45"/>
      <c r="I357" s="62"/>
      <c r="J357" s="45"/>
      <c r="K357" s="62"/>
    </row>
    <row r="358" spans="1:11" ht="30" customHeight="1">
      <c r="A358" s="219"/>
      <c r="B358" s="32"/>
      <c r="C358" s="307"/>
      <c r="D358" s="307"/>
      <c r="E358" s="307"/>
      <c r="F358" s="307"/>
      <c r="G358" s="307"/>
      <c r="H358" s="45"/>
      <c r="I358" s="62"/>
      <c r="J358" s="45"/>
      <c r="K358" s="62"/>
    </row>
    <row r="359" spans="1:11" ht="30" customHeight="1">
      <c r="A359" s="219"/>
      <c r="B359" s="32"/>
      <c r="C359" s="307"/>
      <c r="D359" s="307"/>
      <c r="E359" s="307"/>
      <c r="F359" s="307"/>
      <c r="G359" s="307"/>
      <c r="H359" s="45"/>
      <c r="I359" s="62"/>
      <c r="J359" s="45"/>
      <c r="K359" s="62"/>
    </row>
    <row r="360" spans="1:11" ht="30" customHeight="1">
      <c r="A360" s="219"/>
      <c r="B360" s="32"/>
      <c r="C360" s="307"/>
      <c r="D360" s="307"/>
      <c r="E360" s="307"/>
      <c r="F360" s="307"/>
      <c r="G360" s="307"/>
      <c r="H360" s="45"/>
      <c r="I360" s="62"/>
      <c r="J360" s="45"/>
      <c r="K360" s="62"/>
    </row>
    <row r="361" spans="1:11" ht="15">
      <c r="A361" s="49">
        <v>7</v>
      </c>
      <c r="C361" s="222" t="s">
        <v>493</v>
      </c>
      <c r="D361" s="222"/>
      <c r="E361" s="222"/>
      <c r="F361" s="222"/>
      <c r="G361" s="222"/>
      <c r="H361" s="222"/>
      <c r="I361" s="50"/>
      <c r="J361" s="51"/>
      <c r="K361" s="50"/>
    </row>
    <row r="362" spans="1:11" ht="15">
      <c r="A362" s="49">
        <v>8</v>
      </c>
      <c r="C362" s="352" t="s">
        <v>511</v>
      </c>
      <c r="D362" s="352"/>
      <c r="E362" s="352"/>
      <c r="F362" s="352"/>
      <c r="G362" s="352"/>
      <c r="H362" s="352"/>
      <c r="I362" s="352"/>
      <c r="J362" s="352"/>
      <c r="K362" s="352"/>
    </row>
    <row r="363" spans="3:11" ht="15">
      <c r="C363" s="223" t="s">
        <v>512</v>
      </c>
      <c r="D363" s="224"/>
      <c r="E363" s="224"/>
      <c r="F363" s="225"/>
      <c r="G363" s="226" t="s">
        <v>513</v>
      </c>
      <c r="H363" s="227"/>
      <c r="I363" s="228" t="s">
        <v>0</v>
      </c>
      <c r="J363" s="229"/>
      <c r="K363" s="228" t="s">
        <v>1</v>
      </c>
    </row>
    <row r="364" spans="3:11" ht="15">
      <c r="C364" s="230" t="s">
        <v>514</v>
      </c>
      <c r="D364" s="39"/>
      <c r="G364" s="231"/>
      <c r="H364" s="45"/>
      <c r="I364" s="232"/>
      <c r="J364" s="233"/>
      <c r="K364" s="234"/>
    </row>
    <row r="365" spans="3:11" ht="15">
      <c r="C365" s="235" t="s">
        <v>515</v>
      </c>
      <c r="D365" s="39"/>
      <c r="G365" s="236"/>
      <c r="H365" s="45"/>
      <c r="I365" s="237"/>
      <c r="J365" s="233"/>
      <c r="K365" s="238"/>
    </row>
    <row r="366" spans="3:11" ht="15">
      <c r="C366" s="239" t="s">
        <v>516</v>
      </c>
      <c r="D366" s="39"/>
      <c r="G366" s="240" t="s">
        <v>517</v>
      </c>
      <c r="H366" s="45"/>
      <c r="I366" s="241">
        <f>'BẢNG CÂN ĐỐI KẾ TOÁN'!$D$9/'BẢNG CÂN ĐỐI KẾ TOÁN'!$D$62</f>
        <v>0.6140986276874225</v>
      </c>
      <c r="J366" s="242"/>
      <c r="K366" s="241">
        <v>0.6436053701992275</v>
      </c>
    </row>
    <row r="367" spans="3:11" ht="15">
      <c r="C367" s="239" t="s">
        <v>518</v>
      </c>
      <c r="D367" s="39"/>
      <c r="G367" s="240" t="s">
        <v>517</v>
      </c>
      <c r="H367" s="45"/>
      <c r="I367" s="241">
        <f>'BẢNG CÂN ĐỐI KẾ TOÁN'!$D$31/'BẢNG CÂN ĐỐI KẾ TOÁN'!$D$62</f>
        <v>0.38590137231257754</v>
      </c>
      <c r="J367" s="242"/>
      <c r="K367" s="241">
        <v>0.3563946298007726</v>
      </c>
    </row>
    <row r="368" spans="3:11" ht="15">
      <c r="C368" s="235" t="s">
        <v>519</v>
      </c>
      <c r="D368" s="39"/>
      <c r="E368" s="39"/>
      <c r="F368" s="39"/>
      <c r="G368" s="243"/>
      <c r="H368" s="244"/>
      <c r="I368" s="245"/>
      <c r="J368" s="242"/>
      <c r="K368" s="245"/>
    </row>
    <row r="369" spans="3:11" ht="15">
      <c r="C369" s="239" t="s">
        <v>520</v>
      </c>
      <c r="D369" s="39"/>
      <c r="G369" s="240" t="s">
        <v>517</v>
      </c>
      <c r="H369" s="45"/>
      <c r="I369" s="241">
        <f>'BẢNG CÂN ĐỐI KẾ TOÁN'!$D$64/'BẢNG CÂN ĐỐI KẾ TOÁN'!$D$105</f>
        <v>0.3451325532513304</v>
      </c>
      <c r="J369" s="246"/>
      <c r="K369" s="241">
        <v>0.4318297899765014</v>
      </c>
    </row>
    <row r="370" spans="3:11" ht="15">
      <c r="C370" s="239" t="s">
        <v>521</v>
      </c>
      <c r="D370" s="39"/>
      <c r="G370" s="240" t="s">
        <v>517</v>
      </c>
      <c r="H370" s="45"/>
      <c r="I370" s="241">
        <f>'BẢNG CÂN ĐỐI KẾ TOÁN'!$D$87/'BẢNG CÂN ĐỐI KẾ TOÁN'!$D$105</f>
        <v>0.6548674467486696</v>
      </c>
      <c r="J370" s="247"/>
      <c r="K370" s="241">
        <v>0.5681702100234987</v>
      </c>
    </row>
    <row r="371" spans="3:11" ht="15">
      <c r="C371" s="230" t="s">
        <v>522</v>
      </c>
      <c r="D371" s="39"/>
      <c r="G371" s="243"/>
      <c r="H371" s="45"/>
      <c r="I371" s="245"/>
      <c r="J371" s="242"/>
      <c r="K371" s="245"/>
    </row>
    <row r="372" spans="3:11" ht="15">
      <c r="C372" s="239" t="s">
        <v>523</v>
      </c>
      <c r="D372" s="39"/>
      <c r="G372" s="240" t="s">
        <v>524</v>
      </c>
      <c r="H372" s="45"/>
      <c r="I372" s="241">
        <f>'BẢNG CÂN ĐỐI KẾ TOÁN'!$D$62/'BẢNG CÂN ĐỐI KẾ TOÁN'!$D$64</f>
        <v>2.8974374934484546</v>
      </c>
      <c r="J372" s="247"/>
      <c r="K372" s="241">
        <v>2.31572722218728</v>
      </c>
    </row>
    <row r="373" spans="3:11" ht="15">
      <c r="C373" s="248" t="s">
        <v>525</v>
      </c>
      <c r="D373" s="39"/>
      <c r="G373" s="240"/>
      <c r="H373" s="45"/>
      <c r="I373" s="241"/>
      <c r="J373" s="247"/>
      <c r="K373" s="241"/>
    </row>
    <row r="374" spans="3:11" ht="15">
      <c r="C374" s="239" t="s">
        <v>526</v>
      </c>
      <c r="D374" s="39"/>
      <c r="G374" s="240" t="s">
        <v>524</v>
      </c>
      <c r="H374" s="45"/>
      <c r="I374" s="241">
        <f>'BẢNG CÂN ĐỐI KẾ TOÁN'!$D$9/'BẢNG CÂN ĐỐI KẾ TOÁN'!$D$65</f>
        <v>1.8614227746998362</v>
      </c>
      <c r="J374" s="247"/>
      <c r="K374" s="241">
        <v>1.6191176424545866</v>
      </c>
    </row>
    <row r="375" spans="3:11" ht="15">
      <c r="C375" s="248" t="s">
        <v>527</v>
      </c>
      <c r="D375" s="39"/>
      <c r="G375" s="240"/>
      <c r="H375" s="45"/>
      <c r="I375" s="241"/>
      <c r="J375" s="247"/>
      <c r="K375" s="241"/>
    </row>
    <row r="376" spans="3:11" ht="15">
      <c r="C376" s="239" t="s">
        <v>528</v>
      </c>
      <c r="D376" s="39"/>
      <c r="G376" s="240" t="s">
        <v>524</v>
      </c>
      <c r="H376" s="45"/>
      <c r="I376" s="241">
        <f>'BẢNG CÂN ĐỐI KẾ TOÁN'!$D$10/'BẢNG CÂN ĐỐI KẾ TOÁN'!$D$65</f>
        <v>0.0513064917255005</v>
      </c>
      <c r="J376" s="247"/>
      <c r="K376" s="241">
        <v>0.006840462626694728</v>
      </c>
    </row>
    <row r="377" spans="3:11" ht="15">
      <c r="C377" s="248" t="s">
        <v>529</v>
      </c>
      <c r="D377" s="39"/>
      <c r="G377" s="240"/>
      <c r="H377" s="45"/>
      <c r="I377" s="249"/>
      <c r="J377" s="242"/>
      <c r="K377" s="249"/>
    </row>
    <row r="378" spans="3:11" ht="15">
      <c r="C378" s="230" t="s">
        <v>530</v>
      </c>
      <c r="D378" s="39"/>
      <c r="E378" s="39"/>
      <c r="F378" s="39"/>
      <c r="G378" s="243"/>
      <c r="H378" s="244"/>
      <c r="I378" s="245"/>
      <c r="J378" s="250"/>
      <c r="K378" s="245"/>
    </row>
    <row r="379" spans="3:11" ht="15">
      <c r="C379" s="235" t="s">
        <v>531</v>
      </c>
      <c r="D379" s="39"/>
      <c r="E379" s="39"/>
      <c r="F379" s="39"/>
      <c r="G379" s="240"/>
      <c r="H379" s="244"/>
      <c r="I379" s="249"/>
      <c r="J379" s="242"/>
      <c r="K379" s="249"/>
    </row>
    <row r="380" spans="3:11" ht="15">
      <c r="C380" s="239" t="s">
        <v>532</v>
      </c>
      <c r="D380" s="39"/>
      <c r="E380" s="39"/>
      <c r="F380" s="39"/>
      <c r="G380" s="240" t="s">
        <v>517</v>
      </c>
      <c r="H380" s="244"/>
      <c r="I380" s="251">
        <f>'[1]DN - BÁO CÁO KẾT QUẢ KINH DOANH'!$D$23/'[1]DN - BÁO CÁO KẾT QUẢ KINH DOANH'!$D$8</f>
        <v>-0.00165537891664848</v>
      </c>
      <c r="J380" s="247"/>
      <c r="K380" s="251">
        <f>'[1]DN - BÁO CÁO KẾT QUẢ KINH DOANH'!$F$23/'[1]DN - BÁO CÁO KẾT QUẢ KINH DOANH'!$F$8</f>
        <v>0.015458849422867196</v>
      </c>
    </row>
    <row r="381" spans="3:11" ht="15">
      <c r="C381" s="239" t="s">
        <v>533</v>
      </c>
      <c r="D381" s="39"/>
      <c r="E381" s="39"/>
      <c r="F381" s="39"/>
      <c r="G381" s="240" t="s">
        <v>517</v>
      </c>
      <c r="H381" s="244"/>
      <c r="I381" s="251">
        <f>'[1]DN - BÁO CÁO KẾT QUẢ KINH DOANH'!$D$26/'[1]DN - BÁO CÁO KẾT QUẢ KINH DOANH'!$D$8</f>
        <v>-0.007348508953127564</v>
      </c>
      <c r="J381" s="247"/>
      <c r="K381" s="251">
        <f>'[1]DN - BÁO CÁO KẾT QUẢ KINH DOANH'!$F$26/'[1]DN - BÁO CÁO KẾT QUẢ KINH DOANH'!$F$8</f>
        <v>0.011594137071843017</v>
      </c>
    </row>
    <row r="382" spans="3:11" ht="15">
      <c r="C382" s="235" t="s">
        <v>534</v>
      </c>
      <c r="D382" s="39"/>
      <c r="G382" s="240"/>
      <c r="H382" s="45"/>
      <c r="I382" s="249"/>
      <c r="J382" s="242"/>
      <c r="K382" s="249"/>
    </row>
    <row r="383" spans="3:11" ht="15">
      <c r="C383" s="239" t="s">
        <v>535</v>
      </c>
      <c r="D383" s="39"/>
      <c r="G383" s="240" t="s">
        <v>517</v>
      </c>
      <c r="H383" s="45"/>
      <c r="I383" s="251">
        <f>'[1]DN - BÁO CÁO KẾT QUẢ KINH DOANH'!$D$23/'BẢNG CÂN ĐỐI KẾ TOÁN'!$D$62</f>
        <v>-0.00027933182967449215</v>
      </c>
      <c r="J383" s="247"/>
      <c r="K383" s="251">
        <f>'[1]DN - BÁO CÁO KẾT QUẢ KINH DOANH'!$F$23/'BẢNG CÂN ĐỐI KẾ TOÁN'!$D$62</f>
        <v>0.0038426789554989833</v>
      </c>
    </row>
    <row r="384" spans="3:11" ht="15">
      <c r="C384" s="239" t="s">
        <v>536</v>
      </c>
      <c r="D384" s="39"/>
      <c r="G384" s="240" t="s">
        <v>517</v>
      </c>
      <c r="H384" s="45"/>
      <c r="I384" s="251">
        <f>'[1]DN - BÁO CÁO KẾT QUẢ KINH DOANH'!$D$26/'BẢNG CÂN ĐỐI KẾ TOÁN'!$D$62</f>
        <v>-0.0012400015673827715</v>
      </c>
      <c r="J384" s="247"/>
      <c r="K384" s="251">
        <f>'[1]DN - BÁO CÁO KẾT QUẢ KINH DOANH'!$F$26/'BẢNG CÂN ĐỐI KẾ TOÁN'!$D$62</f>
        <v>0.002882009217790704</v>
      </c>
    </row>
    <row r="385" spans="3:11" ht="15">
      <c r="C385" s="239"/>
      <c r="D385" s="39"/>
      <c r="G385" s="252"/>
      <c r="H385" s="45"/>
      <c r="I385" s="234"/>
      <c r="J385" s="233"/>
      <c r="K385" s="234"/>
    </row>
    <row r="386" spans="3:11" ht="15">
      <c r="C386" s="253" t="s">
        <v>537</v>
      </c>
      <c r="D386" s="36"/>
      <c r="E386" s="36"/>
      <c r="F386" s="36"/>
      <c r="G386" s="254" t="s">
        <v>517</v>
      </c>
      <c r="H386" s="255"/>
      <c r="I386" s="256"/>
      <c r="J386" s="257"/>
      <c r="K386" s="258"/>
    </row>
    <row r="387" spans="7:11" ht="15">
      <c r="G387" s="45"/>
      <c r="H387" s="45"/>
      <c r="I387" s="339" t="s">
        <v>600</v>
      </c>
      <c r="J387" s="339"/>
      <c r="K387" s="339"/>
    </row>
    <row r="388" spans="1:20" s="264" customFormat="1" ht="14.25">
      <c r="A388" s="259"/>
      <c r="B388" s="260"/>
      <c r="C388" s="261" t="s">
        <v>260</v>
      </c>
      <c r="D388" s="262"/>
      <c r="E388" s="261" t="s">
        <v>538</v>
      </c>
      <c r="F388" s="261" t="s">
        <v>262</v>
      </c>
      <c r="G388" s="263"/>
      <c r="H388" s="263"/>
      <c r="I388" s="349" t="s">
        <v>264</v>
      </c>
      <c r="J388" s="349"/>
      <c r="K388" s="349"/>
      <c r="L388" s="304"/>
      <c r="S388" s="304"/>
      <c r="T388" s="304"/>
    </row>
    <row r="389" spans="3:11" ht="15">
      <c r="C389" s="265"/>
      <c r="D389" s="39"/>
      <c r="E389" s="39"/>
      <c r="F389" s="39"/>
      <c r="G389" s="244"/>
      <c r="H389" s="244"/>
      <c r="I389" s="266"/>
      <c r="J389" s="267"/>
      <c r="K389" s="268"/>
    </row>
    <row r="390" spans="3:11" ht="15">
      <c r="C390" s="265"/>
      <c r="D390" s="39"/>
      <c r="E390" s="39"/>
      <c r="F390" s="39"/>
      <c r="G390" s="244"/>
      <c r="H390" s="244"/>
      <c r="I390" s="266"/>
      <c r="J390" s="267"/>
      <c r="K390" s="268"/>
    </row>
    <row r="391" spans="3:11" ht="15">
      <c r="C391" s="265"/>
      <c r="D391" s="39"/>
      <c r="E391" s="39"/>
      <c r="F391" s="39"/>
      <c r="G391" s="244"/>
      <c r="H391" s="244"/>
      <c r="I391" s="266"/>
      <c r="J391" s="267"/>
      <c r="K391" s="268"/>
    </row>
    <row r="392" spans="3:11" ht="15">
      <c r="C392" s="265"/>
      <c r="D392" s="39"/>
      <c r="E392" s="39"/>
      <c r="F392" s="39"/>
      <c r="G392" s="244"/>
      <c r="H392" s="244"/>
      <c r="I392" s="266"/>
      <c r="J392" s="267"/>
      <c r="K392" s="268"/>
    </row>
    <row r="393" spans="3:11" ht="15">
      <c r="C393" s="265"/>
      <c r="D393" s="39"/>
      <c r="E393" s="39"/>
      <c r="F393" s="39"/>
      <c r="G393" s="244"/>
      <c r="H393" s="244"/>
      <c r="I393" s="266"/>
      <c r="J393" s="267"/>
      <c r="K393" s="268"/>
    </row>
    <row r="394" spans="1:20" s="67" customFormat="1" ht="15">
      <c r="A394" s="11"/>
      <c r="B394" s="71"/>
      <c r="C394" s="269" t="s">
        <v>261</v>
      </c>
      <c r="D394" s="38"/>
      <c r="E394" s="269" t="s">
        <v>539</v>
      </c>
      <c r="F394" s="270" t="s">
        <v>263</v>
      </c>
      <c r="G394" s="66"/>
      <c r="H394" s="66"/>
      <c r="I394" s="350" t="s">
        <v>265</v>
      </c>
      <c r="J394" s="350"/>
      <c r="K394" s="350"/>
      <c r="L394" s="297"/>
      <c r="S394" s="297"/>
      <c r="T394" s="297"/>
    </row>
  </sheetData>
  <mergeCells count="23">
    <mergeCell ref="I1:K1"/>
    <mergeCell ref="I2:K2"/>
    <mergeCell ref="I3:K3"/>
    <mergeCell ref="A5:K5"/>
    <mergeCell ref="C71:E71"/>
    <mergeCell ref="C77:E77"/>
    <mergeCell ref="C82:E82"/>
    <mergeCell ref="C54:E54"/>
    <mergeCell ref="C239:G239"/>
    <mergeCell ref="C308:G308"/>
    <mergeCell ref="C311:G311"/>
    <mergeCell ref="C347:G347"/>
    <mergeCell ref="C348:G348"/>
    <mergeCell ref="C349:K349"/>
    <mergeCell ref="C350:K350"/>
    <mergeCell ref="C351:G351"/>
    <mergeCell ref="I387:K387"/>
    <mergeCell ref="I388:K388"/>
    <mergeCell ref="I394:K394"/>
    <mergeCell ref="C353:G353"/>
    <mergeCell ref="C354:G354"/>
    <mergeCell ref="C355:G355"/>
    <mergeCell ref="C362:K362"/>
  </mergeCells>
  <printOptions/>
  <pageMargins left="0.21" right="0.2" top="0.32" bottom="0.35" header="0.3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YlmF</cp:lastModifiedBy>
  <cp:lastPrinted>2012-10-18T06:42:27Z</cp:lastPrinted>
  <dcterms:created xsi:type="dcterms:W3CDTF">2011-01-11T01:32:30Z</dcterms:created>
  <dcterms:modified xsi:type="dcterms:W3CDTF">2012-10-24T02:26:18Z</dcterms:modified>
  <cp:category/>
  <cp:version/>
  <cp:contentType/>
  <cp:contentStatus/>
</cp:coreProperties>
</file>